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Documents\BORGES &amp; NASCIMENTO\AURORA\"/>
    </mc:Choice>
  </mc:AlternateContent>
  <xr:revisionPtr revIDLastSave="0" documentId="13_ncr:1_{5610EEB0-F703-41A9-B6B4-7E08522C802E}" xr6:coauthVersionLast="47" xr6:coauthVersionMax="47" xr10:uidLastSave="{00000000-0000-0000-0000-000000000000}"/>
  <bookViews>
    <workbookView xWindow="-108" yWindow="-108" windowWidth="23256" windowHeight="12456" tabRatio="500" firstSheet="1" activeTab="3" xr2:uid="{00000000-000D-0000-FFFF-FFFF00000000}"/>
  </bookViews>
  <sheets>
    <sheet name="PLANILHA DE CAMPO" sheetId="1" r:id="rId1"/>
    <sheet name="NOTA SERVIÇO" sheetId="2" r:id="rId2"/>
    <sheet name="CFF" sheetId="4" r:id="rId3"/>
    <sheet name="CPU EQUIPAMENTOS" sheetId="5" r:id="rId4"/>
    <sheet name="CPU TRANSPORTES" sheetId="6" r:id="rId5"/>
    <sheet name="ORÇAMENTÁRIA" sheetId="3" r:id="rId6"/>
    <sheet name="LDI" sheetId="7" r:id="rId7"/>
    <sheet name="1.1" sheetId="8" r:id="rId8"/>
    <sheet name="1.2" sheetId="9" r:id="rId9"/>
    <sheet name="1.3" sheetId="10" r:id="rId10"/>
    <sheet name="2.1" sheetId="11" r:id="rId11"/>
    <sheet name="3.1" sheetId="12" r:id="rId12"/>
    <sheet name="4.1" sheetId="13" r:id="rId13"/>
    <sheet name="4.2" sheetId="14" r:id="rId14"/>
    <sheet name="5.1" sheetId="15" r:id="rId15"/>
    <sheet name="5.2" sheetId="16" r:id="rId16"/>
    <sheet name="5.3" sheetId="17" r:id="rId17"/>
    <sheet name="5.4" sheetId="18" r:id="rId18"/>
    <sheet name="5.5" sheetId="19" r:id="rId19"/>
    <sheet name="5.6" sheetId="20" r:id="rId20"/>
    <sheet name="5.7" sheetId="21" r:id="rId21"/>
    <sheet name="5.8" sheetId="22" r:id="rId22"/>
    <sheet name="6.1" sheetId="23" r:id="rId23"/>
    <sheet name="6.2" sheetId="24" r:id="rId24"/>
    <sheet name="6.3" sheetId="25" r:id="rId25"/>
    <sheet name="6.4" sheetId="26" r:id="rId26"/>
    <sheet name="6.5" sheetId="27" r:id="rId27"/>
    <sheet name="6.6" sheetId="28" r:id="rId28"/>
    <sheet name="6.7" sheetId="29" r:id="rId29"/>
    <sheet name="6.8" sheetId="30" r:id="rId30"/>
    <sheet name="7.1" sheetId="32" r:id="rId31"/>
    <sheet name="7.2" sheetId="33" r:id="rId32"/>
    <sheet name="8.1" sheetId="34" r:id="rId33"/>
    <sheet name="8.2" sheetId="35" r:id="rId34"/>
    <sheet name="8.3" sheetId="36" r:id="rId35"/>
    <sheet name="9.1" sheetId="37" r:id="rId36"/>
    <sheet name="9.2" sheetId="38" r:id="rId37"/>
    <sheet name="Enc.sociais" sheetId="39" r:id="rId38"/>
    <sheet name="PONTE MADEIRA" sheetId="31" r:id="rId39"/>
  </sheets>
  <externalReferences>
    <externalReference r:id="rId40"/>
  </externalReferences>
  <definedNames>
    <definedName name="_xlnm.Print_Area" localSheetId="7">'1.1'!$A$1:$L$113</definedName>
    <definedName name="_xlnm.Print_Area" localSheetId="8">'1.2'!$A$1:$L$62</definedName>
    <definedName name="_xlnm.Print_Area" localSheetId="9">'1.3'!$A$1:$L$63</definedName>
    <definedName name="_xlnm.Print_Area" localSheetId="10">'2.1'!$A$1:$L$57</definedName>
    <definedName name="_xlnm.Print_Area" localSheetId="11">'3.1'!$A$1:$L$60</definedName>
    <definedName name="_xlnm.Print_Area" localSheetId="12">'4.1'!$A$1:$L$59</definedName>
    <definedName name="_xlnm.Print_Area" localSheetId="13">'4.2'!$A$1:$L$59</definedName>
    <definedName name="_xlnm.Print_Area" localSheetId="14">'5.1'!$A$1:$L$55</definedName>
    <definedName name="_xlnm.Print_Area" localSheetId="15">'5.2'!$A$1:$L$55</definedName>
    <definedName name="_xlnm.Print_Area" localSheetId="16">'5.3'!$A$1:$L$58</definedName>
    <definedName name="_xlnm.Print_Area" localSheetId="17">'5.4'!$A$1:$L$57</definedName>
    <definedName name="_xlnm.Print_Area" localSheetId="18">'5.5'!$A$1:$L$56</definedName>
    <definedName name="_xlnm.Print_Area" localSheetId="19">'5.6'!$A$1:$L$57</definedName>
    <definedName name="_xlnm.Print_Area" localSheetId="20">'5.7'!$A$1:$L$57</definedName>
    <definedName name="_xlnm.Print_Area" localSheetId="21">'5.8'!$A$1:$L$56</definedName>
    <definedName name="_xlnm.Print_Area" localSheetId="22">'6.1'!$A$1:$L$58</definedName>
    <definedName name="_xlnm.Print_Area" localSheetId="23">'6.2'!$A$1:$L$58</definedName>
    <definedName name="_xlnm.Print_Area" localSheetId="24">'6.3'!$A$1:$L$59</definedName>
    <definedName name="_xlnm.Print_Area" localSheetId="25">'6.4'!$A$1:$L$58</definedName>
    <definedName name="_xlnm.Print_Area" localSheetId="26">'6.5'!$A$1:$L$57</definedName>
    <definedName name="_xlnm.Print_Area" localSheetId="27">'6.6'!$A$1:$L$58</definedName>
    <definedName name="_xlnm.Print_Area" localSheetId="28">'6.7'!$A$1:$L$57</definedName>
    <definedName name="_xlnm.Print_Area" localSheetId="29">'6.8'!$A$1:$L$57</definedName>
    <definedName name="_xlnm.Print_Area" localSheetId="30">'7.1'!$A$1:$L$67</definedName>
    <definedName name="_xlnm.Print_Area" localSheetId="31">'7.2'!$A$1:$L$64</definedName>
    <definedName name="_xlnm.Print_Area" localSheetId="32">'8.1'!$A$1:$L$57</definedName>
    <definedName name="_xlnm.Print_Area" localSheetId="33">'8.2'!$A$1:$L$56</definedName>
    <definedName name="_xlnm.Print_Area" localSheetId="34">'8.3'!$A$1:$L$60</definedName>
    <definedName name="_xlnm.Print_Area" localSheetId="35">'9.1'!$A$1:$L$57</definedName>
    <definedName name="_xlnm.Print_Area" localSheetId="36">'9.2'!$A$1:$L$71</definedName>
    <definedName name="_xlnm.Print_Area" localSheetId="2">CFF!$A$1:$L$47</definedName>
    <definedName name="_xlnm.Print_Area" localSheetId="3">'CPU EQUIPAMENTOS'!$A$1:$T$77</definedName>
    <definedName name="_xlnm.Print_Area" localSheetId="37">Enc.sociais!$A$1:$F$47</definedName>
    <definedName name="_xlnm.Print_Area" localSheetId="6">LDI!$A$1:$K$64</definedName>
    <definedName name="_xlnm.Print_Area" localSheetId="5">ORÇAMENTÁRIA!$A$1:$N$167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9" l="1"/>
  <c r="B7" i="39"/>
  <c r="B6" i="39"/>
  <c r="B5" i="39"/>
  <c r="B4" i="39"/>
  <c r="B2" i="39"/>
  <c r="B1" i="39"/>
  <c r="F45" i="39"/>
  <c r="E45" i="39"/>
  <c r="D45" i="39"/>
  <c r="C45" i="39"/>
  <c r="F41" i="39"/>
  <c r="E41" i="39"/>
  <c r="D41" i="39"/>
  <c r="C41" i="39"/>
  <c r="F34" i="39"/>
  <c r="E34" i="39"/>
  <c r="D34" i="39"/>
  <c r="C34" i="39"/>
  <c r="F22" i="39"/>
  <c r="F46" i="39" s="1"/>
  <c r="E22" i="39"/>
  <c r="E46" i="39" s="1"/>
  <c r="D22" i="39"/>
  <c r="D46" i="39" s="1"/>
  <c r="C22" i="39"/>
  <c r="C46" i="39" s="1"/>
  <c r="C2" i="4" l="1"/>
  <c r="C1" i="4"/>
  <c r="D3" i="4"/>
  <c r="A6" i="9"/>
  <c r="A5" i="9"/>
  <c r="A4" i="8"/>
  <c r="A3" i="8"/>
  <c r="C9" i="7"/>
  <c r="C8" i="7"/>
  <c r="C7" i="7"/>
  <c r="C6" i="7"/>
  <c r="C5" i="7"/>
  <c r="C4" i="7"/>
  <c r="C3" i="7"/>
  <c r="C2" i="7"/>
  <c r="D8" i="6"/>
  <c r="D7" i="6"/>
  <c r="D6" i="6"/>
  <c r="D5" i="6"/>
  <c r="D4" i="6"/>
  <c r="D3" i="6"/>
  <c r="D2" i="6"/>
  <c r="D1" i="6"/>
  <c r="C9" i="5"/>
  <c r="C8" i="5"/>
  <c r="C7" i="5"/>
  <c r="C6" i="5"/>
  <c r="C5" i="5"/>
  <c r="C4" i="5"/>
  <c r="C3" i="5"/>
  <c r="C2" i="5"/>
  <c r="K14" i="6" l="1"/>
  <c r="L14" i="6"/>
  <c r="K17" i="6"/>
  <c r="L17" i="6"/>
  <c r="K20" i="6"/>
  <c r="L20" i="6"/>
  <c r="K23" i="6"/>
  <c r="M23" i="6" s="1"/>
  <c r="O23" i="6" s="1"/>
  <c r="L23" i="6"/>
  <c r="K26" i="6"/>
  <c r="L26" i="6"/>
  <c r="K29" i="6"/>
  <c r="L29" i="6"/>
  <c r="K32" i="6"/>
  <c r="L32" i="6"/>
  <c r="K35" i="6"/>
  <c r="M35" i="6" s="1"/>
  <c r="O35" i="6" s="1"/>
  <c r="L35" i="6"/>
  <c r="K38" i="6"/>
  <c r="L38" i="6"/>
  <c r="M38" i="6" s="1"/>
  <c r="O40" i="6" s="1"/>
  <c r="R40" i="6" s="1"/>
  <c r="S40" i="6" s="1"/>
  <c r="K58" i="8"/>
  <c r="K59" i="8"/>
  <c r="K60" i="8"/>
  <c r="K61" i="8"/>
  <c r="K62" i="8"/>
  <c r="K63" i="8"/>
  <c r="L63" i="8" s="1"/>
  <c r="K64" i="8"/>
  <c r="L64" i="8" s="1"/>
  <c r="L59" i="8"/>
  <c r="L60" i="8"/>
  <c r="O107" i="2"/>
  <c r="Q168" i="3"/>
  <c r="L63" i="32"/>
  <c r="M155" i="3"/>
  <c r="M154" i="3"/>
  <c r="M148" i="3"/>
  <c r="M144" i="3"/>
  <c r="M143" i="3"/>
  <c r="M125" i="3"/>
  <c r="N125" i="3" s="1"/>
  <c r="M108" i="3"/>
  <c r="M106" i="3"/>
  <c r="M102" i="3"/>
  <c r="M100" i="3"/>
  <c r="M90" i="3"/>
  <c r="M88" i="3"/>
  <c r="M84" i="3"/>
  <c r="M82" i="3"/>
  <c r="M73" i="3"/>
  <c r="M72" i="3"/>
  <c r="M70" i="3"/>
  <c r="M68" i="3"/>
  <c r="M66" i="3"/>
  <c r="M65" i="3"/>
  <c r="M52" i="3"/>
  <c r="N52" i="3" s="1"/>
  <c r="O39" i="38"/>
  <c r="O40" i="38"/>
  <c r="O41" i="38"/>
  <c r="O42" i="38"/>
  <c r="O43" i="38"/>
  <c r="O44" i="38"/>
  <c r="O38" i="38"/>
  <c r="K25" i="38"/>
  <c r="K27" i="37"/>
  <c r="K30" i="36"/>
  <c r="K27" i="34"/>
  <c r="K29" i="33"/>
  <c r="K28" i="33"/>
  <c r="L28" i="33" s="1"/>
  <c r="K27" i="33"/>
  <c r="O44" i="32"/>
  <c r="O45" i="32"/>
  <c r="O46" i="32"/>
  <c r="O47" i="32"/>
  <c r="O43" i="32"/>
  <c r="K30" i="32"/>
  <c r="K29" i="32"/>
  <c r="K28" i="32"/>
  <c r="N39" i="27"/>
  <c r="K26" i="26"/>
  <c r="K25" i="26"/>
  <c r="K26" i="25"/>
  <c r="K25" i="25"/>
  <c r="N39" i="24"/>
  <c r="K26" i="24"/>
  <c r="K25" i="24"/>
  <c r="O40" i="23"/>
  <c r="O41" i="23"/>
  <c r="O42" i="23"/>
  <c r="O39" i="23"/>
  <c r="K26" i="23"/>
  <c r="K25" i="23"/>
  <c r="K27" i="20"/>
  <c r="K27" i="18"/>
  <c r="K29" i="17"/>
  <c r="K27" i="16"/>
  <c r="K26" i="15"/>
  <c r="K28" i="14"/>
  <c r="K28" i="13"/>
  <c r="K25" i="12"/>
  <c r="O38" i="10"/>
  <c r="K25" i="10"/>
  <c r="K24" i="10"/>
  <c r="P45" i="9"/>
  <c r="L22" i="13"/>
  <c r="J22" i="13"/>
  <c r="O42" i="11"/>
  <c r="O26" i="11"/>
  <c r="O27" i="11"/>
  <c r="O28" i="11"/>
  <c r="O29" i="11"/>
  <c r="O25" i="11"/>
  <c r="O42" i="12"/>
  <c r="O43" i="12"/>
  <c r="O41" i="12"/>
  <c r="L43" i="12"/>
  <c r="O26" i="12"/>
  <c r="O27" i="12"/>
  <c r="O28" i="12"/>
  <c r="O25" i="12"/>
  <c r="S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70" i="8"/>
  <c r="H76" i="8"/>
  <c r="O37" i="8"/>
  <c r="O38" i="8"/>
  <c r="O39" i="8"/>
  <c r="O40" i="8"/>
  <c r="O41" i="8"/>
  <c r="O42" i="8"/>
  <c r="O43" i="8"/>
  <c r="O44" i="8"/>
  <c r="O45" i="8"/>
  <c r="O35" i="8"/>
  <c r="O36" i="8"/>
  <c r="O34" i="8"/>
  <c r="N44" i="9"/>
  <c r="L24" i="10"/>
  <c r="O39" i="10"/>
  <c r="O40" i="10"/>
  <c r="O41" i="10"/>
  <c r="O42" i="10"/>
  <c r="O25" i="10"/>
  <c r="O24" i="10"/>
  <c r="V26" i="5"/>
  <c r="N17" i="5"/>
  <c r="M17" i="5"/>
  <c r="T17" i="5" s="1"/>
  <c r="M26" i="5"/>
  <c r="L26" i="5"/>
  <c r="R26" i="5" s="1"/>
  <c r="V18" i="5"/>
  <c r="V19" i="5"/>
  <c r="V20" i="5"/>
  <c r="V21" i="5"/>
  <c r="V22" i="5"/>
  <c r="V23" i="5"/>
  <c r="V24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17" i="5"/>
  <c r="A1" i="8"/>
  <c r="A3" i="10"/>
  <c r="A4" i="10"/>
  <c r="E8" i="8"/>
  <c r="D14" i="8"/>
  <c r="B26" i="8"/>
  <c r="E26" i="8"/>
  <c r="B27" i="8"/>
  <c r="E27" i="8"/>
  <c r="B28" i="8"/>
  <c r="E28" i="8"/>
  <c r="B29" i="8"/>
  <c r="E29" i="8"/>
  <c r="B30" i="8"/>
  <c r="E30" i="8"/>
  <c r="K32" i="8"/>
  <c r="L32" i="8"/>
  <c r="K33" i="8"/>
  <c r="L33" i="8"/>
  <c r="L34" i="8"/>
  <c r="L35" i="8"/>
  <c r="L36" i="8"/>
  <c r="K37" i="8"/>
  <c r="L37" i="8"/>
  <c r="K38" i="8"/>
  <c r="L38" i="8"/>
  <c r="L39" i="8"/>
  <c r="L40" i="8"/>
  <c r="K41" i="8"/>
  <c r="L41" i="8"/>
  <c r="K42" i="8"/>
  <c r="L42" i="8"/>
  <c r="L43" i="8"/>
  <c r="L44" i="8"/>
  <c r="K45" i="8"/>
  <c r="L45" i="8"/>
  <c r="K46" i="8"/>
  <c r="L46" i="8"/>
  <c r="A32" i="8"/>
  <c r="B32" i="8"/>
  <c r="D32" i="8"/>
  <c r="A33" i="8"/>
  <c r="B33" i="8"/>
  <c r="D33" i="8"/>
  <c r="A34" i="8"/>
  <c r="B34" i="8"/>
  <c r="D34" i="8"/>
  <c r="A35" i="8"/>
  <c r="B35" i="8"/>
  <c r="D35" i="8"/>
  <c r="A36" i="8"/>
  <c r="B36" i="8"/>
  <c r="D36" i="8"/>
  <c r="A37" i="8"/>
  <c r="B37" i="8"/>
  <c r="D37" i="8"/>
  <c r="A38" i="8"/>
  <c r="B38" i="8"/>
  <c r="D38" i="8"/>
  <c r="A39" i="8"/>
  <c r="B39" i="8"/>
  <c r="D39" i="8"/>
  <c r="A40" i="8"/>
  <c r="B40" i="8"/>
  <c r="D40" i="8"/>
  <c r="A41" i="8"/>
  <c r="B41" i="8"/>
  <c r="D41" i="8"/>
  <c r="A42" i="8"/>
  <c r="B42" i="8"/>
  <c r="D42" i="8"/>
  <c r="A43" i="8"/>
  <c r="B43" i="8"/>
  <c r="D43" i="8"/>
  <c r="A44" i="8"/>
  <c r="B44" i="8"/>
  <c r="D44" i="8"/>
  <c r="K50" i="8"/>
  <c r="L50" i="8"/>
  <c r="K51" i="8"/>
  <c r="L51" i="8"/>
  <c r="K52" i="8"/>
  <c r="L52" i="8"/>
  <c r="K53" i="8"/>
  <c r="L53" i="8"/>
  <c r="K54" i="8"/>
  <c r="L54" i="8"/>
  <c r="L49" i="8"/>
  <c r="A50" i="8"/>
  <c r="B50" i="8"/>
  <c r="D50" i="8"/>
  <c r="A51" i="8"/>
  <c r="B51" i="8"/>
  <c r="D51" i="8"/>
  <c r="A52" i="8"/>
  <c r="B52" i="8"/>
  <c r="D52" i="8"/>
  <c r="B58" i="8"/>
  <c r="L58" i="8"/>
  <c r="B59" i="8"/>
  <c r="B60" i="8"/>
  <c r="B61" i="8"/>
  <c r="L61" i="8"/>
  <c r="B62" i="8"/>
  <c r="L62" i="8"/>
  <c r="B63" i="8"/>
  <c r="B64" i="8"/>
  <c r="A58" i="8"/>
  <c r="D58" i="8"/>
  <c r="A59" i="8"/>
  <c r="D59" i="8"/>
  <c r="A60" i="8"/>
  <c r="D60" i="8"/>
  <c r="A61" i="8"/>
  <c r="D61" i="8"/>
  <c r="A62" i="8"/>
  <c r="D62" i="8"/>
  <c r="A63" i="8"/>
  <c r="D63" i="8"/>
  <c r="A64" i="8"/>
  <c r="D64" i="8"/>
  <c r="H70" i="8"/>
  <c r="L70" i="8"/>
  <c r="H71" i="8"/>
  <c r="L71" i="8"/>
  <c r="H72" i="8"/>
  <c r="L72" i="8"/>
  <c r="H73" i="8"/>
  <c r="L73" i="8"/>
  <c r="A70" i="8"/>
  <c r="B70" i="8"/>
  <c r="D70" i="8"/>
  <c r="A71" i="8"/>
  <c r="B71" i="8"/>
  <c r="D71" i="8"/>
  <c r="H77" i="8"/>
  <c r="L77" i="8"/>
  <c r="H78" i="8"/>
  <c r="L78" i="8"/>
  <c r="H79" i="8"/>
  <c r="L79" i="8"/>
  <c r="H80" i="8"/>
  <c r="L80" i="8"/>
  <c r="A76" i="8"/>
  <c r="B76" i="8"/>
  <c r="D76" i="8"/>
  <c r="A77" i="8"/>
  <c r="B77" i="8"/>
  <c r="D77" i="8"/>
  <c r="H83" i="8"/>
  <c r="L83" i="8"/>
  <c r="H84" i="8"/>
  <c r="L84" i="8" s="1"/>
  <c r="H85" i="8"/>
  <c r="L85" i="8" s="1"/>
  <c r="H86" i="8"/>
  <c r="L86" i="8"/>
  <c r="H87" i="8"/>
  <c r="L87" i="8"/>
  <c r="H88" i="8"/>
  <c r="L88" i="8"/>
  <c r="H89" i="8"/>
  <c r="L89" i="8"/>
  <c r="A83" i="8"/>
  <c r="B83" i="8"/>
  <c r="D83" i="8"/>
  <c r="A84" i="8"/>
  <c r="B84" i="8"/>
  <c r="D84" i="8"/>
  <c r="A85" i="8"/>
  <c r="B85" i="8"/>
  <c r="D85" i="8"/>
  <c r="H92" i="8"/>
  <c r="L92" i="8" s="1"/>
  <c r="H93" i="8"/>
  <c r="L93" i="8"/>
  <c r="H94" i="8"/>
  <c r="L94" i="8" s="1"/>
  <c r="H95" i="8"/>
  <c r="L95" i="8"/>
  <c r="H96" i="8"/>
  <c r="L96" i="8" s="1"/>
  <c r="H97" i="8"/>
  <c r="L97" i="8"/>
  <c r="H98" i="8"/>
  <c r="L98" i="8" s="1"/>
  <c r="H99" i="8"/>
  <c r="L99" i="8"/>
  <c r="H100" i="8"/>
  <c r="L100" i="8" s="1"/>
  <c r="H101" i="8"/>
  <c r="L101" i="8"/>
  <c r="H102" i="8"/>
  <c r="L102" i="8" s="1"/>
  <c r="H103" i="8"/>
  <c r="L103" i="8"/>
  <c r="H104" i="8"/>
  <c r="L104" i="8"/>
  <c r="H105" i="8"/>
  <c r="L105" i="8"/>
  <c r="H106" i="8"/>
  <c r="L106" i="8"/>
  <c r="A92" i="8"/>
  <c r="B92" i="8"/>
  <c r="D92" i="8"/>
  <c r="A93" i="8"/>
  <c r="B93" i="8"/>
  <c r="D93" i="8"/>
  <c r="A94" i="8"/>
  <c r="B94" i="8"/>
  <c r="D94" i="8"/>
  <c r="A95" i="8"/>
  <c r="B95" i="8"/>
  <c r="D95" i="8"/>
  <c r="A96" i="8"/>
  <c r="B96" i="8"/>
  <c r="D96" i="8"/>
  <c r="A97" i="8"/>
  <c r="B97" i="8"/>
  <c r="D97" i="8"/>
  <c r="A98" i="8"/>
  <c r="B98" i="8"/>
  <c r="D98" i="8"/>
  <c r="A99" i="8"/>
  <c r="B99" i="8"/>
  <c r="D99" i="8"/>
  <c r="A100" i="8"/>
  <c r="B100" i="8"/>
  <c r="D100" i="8"/>
  <c r="A101" i="8"/>
  <c r="B101" i="8"/>
  <c r="D101" i="8"/>
  <c r="A102" i="8"/>
  <c r="B102" i="8"/>
  <c r="D102" i="8"/>
  <c r="A103" i="8"/>
  <c r="B103" i="8"/>
  <c r="D103" i="8"/>
  <c r="K111" i="8"/>
  <c r="A2" i="9"/>
  <c r="E11" i="9"/>
  <c r="L21" i="9"/>
  <c r="L22" i="9"/>
  <c r="L23" i="9"/>
  <c r="L24" i="9"/>
  <c r="L25" i="9"/>
  <c r="L29" i="9"/>
  <c r="L30" i="9"/>
  <c r="L31" i="9"/>
  <c r="L32" i="9"/>
  <c r="L33" i="9"/>
  <c r="L35" i="9"/>
  <c r="G36" i="9"/>
  <c r="L36" i="9"/>
  <c r="L37" i="9"/>
  <c r="L38" i="9"/>
  <c r="L40" i="9"/>
  <c r="A44" i="9"/>
  <c r="B44" i="9"/>
  <c r="D44" i="9"/>
  <c r="J44" i="9"/>
  <c r="L44" i="9"/>
  <c r="L45" i="9"/>
  <c r="L46" i="9"/>
  <c r="L47" i="9"/>
  <c r="L48" i="9"/>
  <c r="L49" i="9"/>
  <c r="L59" i="9" s="1"/>
  <c r="L54" i="9"/>
  <c r="L56" i="9"/>
  <c r="L57" i="9"/>
  <c r="K60" i="9"/>
  <c r="D64" i="9"/>
  <c r="A1" i="10"/>
  <c r="E9" i="10"/>
  <c r="L20" i="10"/>
  <c r="A24" i="10"/>
  <c r="B24" i="10"/>
  <c r="D24" i="10"/>
  <c r="A25" i="10"/>
  <c r="B25" i="10"/>
  <c r="D25" i="10"/>
  <c r="L25" i="10"/>
  <c r="G30" i="10"/>
  <c r="A38" i="10"/>
  <c r="B38" i="10"/>
  <c r="D38" i="10"/>
  <c r="J38" i="10"/>
  <c r="L38" i="10"/>
  <c r="A39" i="10"/>
  <c r="B39" i="10"/>
  <c r="D39" i="10"/>
  <c r="J39" i="10"/>
  <c r="L39" i="10"/>
  <c r="A40" i="10"/>
  <c r="B40" i="10"/>
  <c r="D40" i="10"/>
  <c r="J40" i="10"/>
  <c r="L40" i="10"/>
  <c r="L44" i="10" s="1"/>
  <c r="A41" i="10"/>
  <c r="B41" i="10"/>
  <c r="D41" i="10"/>
  <c r="J41" i="10"/>
  <c r="L41" i="10"/>
  <c r="A42" i="10"/>
  <c r="D42" i="10"/>
  <c r="J42" i="10"/>
  <c r="L42" i="10"/>
  <c r="A49" i="10"/>
  <c r="B49" i="10"/>
  <c r="D49" i="10"/>
  <c r="G49" i="10"/>
  <c r="I49" i="10"/>
  <c r="J49" i="10"/>
  <c r="K49" i="10"/>
  <c r="I50" i="10"/>
  <c r="J50" i="10"/>
  <c r="K50" i="10"/>
  <c r="L49" i="10"/>
  <c r="A51" i="10"/>
  <c r="B51" i="10"/>
  <c r="D51" i="10"/>
  <c r="G51" i="10"/>
  <c r="I51" i="10"/>
  <c r="J51" i="10"/>
  <c r="K51" i="10"/>
  <c r="I52" i="10"/>
  <c r="J52" i="10"/>
  <c r="K52" i="10"/>
  <c r="L51" i="10"/>
  <c r="A53" i="10"/>
  <c r="B53" i="10"/>
  <c r="D53" i="10"/>
  <c r="G53" i="10"/>
  <c r="I53" i="10"/>
  <c r="J53" i="10"/>
  <c r="K53" i="10"/>
  <c r="I54" i="10"/>
  <c r="J54" i="10"/>
  <c r="K54" i="10"/>
  <c r="L53" i="10"/>
  <c r="A55" i="10"/>
  <c r="B55" i="10"/>
  <c r="D55" i="10"/>
  <c r="G55" i="10"/>
  <c r="I55" i="10"/>
  <c r="J55" i="10"/>
  <c r="K55" i="10"/>
  <c r="I56" i="10"/>
  <c r="J56" i="10"/>
  <c r="K56" i="10"/>
  <c r="L55" i="10"/>
  <c r="L57" i="10"/>
  <c r="L58" i="10"/>
  <c r="K61" i="10"/>
  <c r="A1" i="11"/>
  <c r="E9" i="11"/>
  <c r="D15" i="11"/>
  <c r="J25" i="11"/>
  <c r="L25" i="11"/>
  <c r="J26" i="11"/>
  <c r="L26" i="11"/>
  <c r="L31" i="11" s="1"/>
  <c r="J27" i="11"/>
  <c r="L27" i="11"/>
  <c r="J28" i="11"/>
  <c r="L28" i="11"/>
  <c r="J29" i="11"/>
  <c r="L29" i="11"/>
  <c r="A25" i="11"/>
  <c r="B25" i="11"/>
  <c r="D25" i="11"/>
  <c r="A26" i="11"/>
  <c r="B26" i="11"/>
  <c r="D26" i="11"/>
  <c r="A27" i="11"/>
  <c r="B27" i="11"/>
  <c r="D27" i="11"/>
  <c r="A28" i="11"/>
  <c r="B28" i="11"/>
  <c r="D28" i="11"/>
  <c r="A29" i="11"/>
  <c r="B29" i="11"/>
  <c r="D29" i="11"/>
  <c r="G34" i="11"/>
  <c r="A42" i="11"/>
  <c r="B42" i="11"/>
  <c r="D42" i="11"/>
  <c r="H42" i="11"/>
  <c r="J42" i="11"/>
  <c r="L42" i="11"/>
  <c r="L44" i="11"/>
  <c r="G48" i="11"/>
  <c r="G49" i="11"/>
  <c r="G50" i="11"/>
  <c r="G51" i="11"/>
  <c r="G52" i="11"/>
  <c r="A1" i="12"/>
  <c r="E9" i="12"/>
  <c r="D15" i="12"/>
  <c r="L19" i="12"/>
  <c r="L20" i="12"/>
  <c r="L21" i="12"/>
  <c r="A25" i="12"/>
  <c r="B25" i="12"/>
  <c r="D25" i="12"/>
  <c r="L25" i="12"/>
  <c r="A26" i="12"/>
  <c r="B26" i="12"/>
  <c r="D26" i="12"/>
  <c r="L26" i="12"/>
  <c r="A27" i="12"/>
  <c r="B27" i="12"/>
  <c r="D27" i="12"/>
  <c r="L27" i="12"/>
  <c r="A28" i="12"/>
  <c r="B28" i="12"/>
  <c r="D28" i="12"/>
  <c r="L28" i="12"/>
  <c r="L29" i="12"/>
  <c r="G33" i="12"/>
  <c r="A41" i="12"/>
  <c r="B41" i="12"/>
  <c r="D41" i="12"/>
  <c r="J41" i="12"/>
  <c r="L41" i="12"/>
  <c r="L45" i="12" s="1"/>
  <c r="A42" i="12"/>
  <c r="B42" i="12"/>
  <c r="D42" i="12"/>
  <c r="J42" i="12"/>
  <c r="L42" i="12"/>
  <c r="A43" i="12"/>
  <c r="B43" i="12"/>
  <c r="D43" i="12"/>
  <c r="J43" i="12"/>
  <c r="L44" i="12"/>
  <c r="L50" i="12"/>
  <c r="L53" i="12"/>
  <c r="L54" i="12"/>
  <c r="K57" i="12"/>
  <c r="A2" i="13"/>
  <c r="E12" i="13"/>
  <c r="D18" i="13"/>
  <c r="A22" i="13"/>
  <c r="B22" i="13"/>
  <c r="D22" i="13"/>
  <c r="K22" i="13"/>
  <c r="L24" i="13"/>
  <c r="A28" i="13"/>
  <c r="B28" i="13"/>
  <c r="D28" i="13"/>
  <c r="L28" i="13"/>
  <c r="L30" i="13"/>
  <c r="L31" i="13"/>
  <c r="L32" i="13"/>
  <c r="L34" i="13"/>
  <c r="L35" i="13" s="1"/>
  <c r="G35" i="13"/>
  <c r="F36" i="13"/>
  <c r="L43" i="13"/>
  <c r="L44" i="13"/>
  <c r="L45" i="13"/>
  <c r="G50" i="13"/>
  <c r="L50" i="13"/>
  <c r="L53" i="13"/>
  <c r="L54" i="13"/>
  <c r="K57" i="13"/>
  <c r="A2" i="14"/>
  <c r="E12" i="14"/>
  <c r="D18" i="14"/>
  <c r="A22" i="14"/>
  <c r="B22" i="14"/>
  <c r="D22" i="14"/>
  <c r="J22" i="14"/>
  <c r="K22" i="14"/>
  <c r="L22" i="14"/>
  <c r="L24" i="14"/>
  <c r="A28" i="14"/>
  <c r="B28" i="14"/>
  <c r="D28" i="14"/>
  <c r="L28" i="14"/>
  <c r="L30" i="14"/>
  <c r="L31" i="14"/>
  <c r="L32" i="14"/>
  <c r="L34" i="14"/>
  <c r="G35" i="14"/>
  <c r="L35" i="14"/>
  <c r="L36" i="14" s="1"/>
  <c r="F36" i="14"/>
  <c r="L43" i="14"/>
  <c r="L44" i="14"/>
  <c r="L45" i="14"/>
  <c r="G50" i="14"/>
  <c r="L50" i="14"/>
  <c r="L53" i="14"/>
  <c r="L54" i="14"/>
  <c r="K57" i="14"/>
  <c r="A1" i="15"/>
  <c r="E9" i="15"/>
  <c r="D15" i="15"/>
  <c r="A19" i="15"/>
  <c r="B19" i="15"/>
  <c r="D19" i="15"/>
  <c r="J19" i="15"/>
  <c r="K19" i="15"/>
  <c r="L19" i="15"/>
  <c r="L20" i="15"/>
  <c r="L22" i="15"/>
  <c r="A26" i="15"/>
  <c r="B26" i="15"/>
  <c r="D26" i="15"/>
  <c r="L26" i="15"/>
  <c r="L27" i="15"/>
  <c r="L28" i="15"/>
  <c r="L29" i="15"/>
  <c r="L31" i="15"/>
  <c r="L32" i="15" s="1"/>
  <c r="F32" i="15"/>
  <c r="G32" i="15"/>
  <c r="F33" i="15"/>
  <c r="L40" i="15"/>
  <c r="L41" i="15"/>
  <c r="L42" i="15"/>
  <c r="G47" i="15"/>
  <c r="L47" i="15"/>
  <c r="L49" i="15"/>
  <c r="L50" i="15"/>
  <c r="K53" i="15"/>
  <c r="A1" i="16"/>
  <c r="E9" i="16"/>
  <c r="D15" i="16"/>
  <c r="A19" i="16"/>
  <c r="B19" i="16"/>
  <c r="D19" i="16"/>
  <c r="J19" i="16"/>
  <c r="K19" i="16"/>
  <c r="L19" i="16"/>
  <c r="A20" i="16"/>
  <c r="B20" i="16"/>
  <c r="D20" i="16"/>
  <c r="J20" i="16"/>
  <c r="K20" i="16"/>
  <c r="L20" i="16"/>
  <c r="L21" i="16"/>
  <c r="L23" i="16"/>
  <c r="A27" i="16"/>
  <c r="B27" i="16"/>
  <c r="D27" i="16"/>
  <c r="L27" i="16"/>
  <c r="L29" i="16" s="1"/>
  <c r="L31" i="16" s="1"/>
  <c r="L32" i="16" s="1"/>
  <c r="L28" i="16"/>
  <c r="G32" i="16"/>
  <c r="F33" i="16"/>
  <c r="L40" i="16"/>
  <c r="L41" i="16"/>
  <c r="L42" i="16"/>
  <c r="G47" i="16"/>
  <c r="L47" i="16"/>
  <c r="L49" i="16"/>
  <c r="L50" i="16"/>
  <c r="K53" i="16"/>
  <c r="A1" i="17"/>
  <c r="E9" i="17"/>
  <c r="A19" i="17"/>
  <c r="B19" i="17"/>
  <c r="D19" i="17"/>
  <c r="J19" i="17"/>
  <c r="K19" i="17"/>
  <c r="L19" i="17"/>
  <c r="A20" i="17"/>
  <c r="B20" i="17"/>
  <c r="D20" i="17"/>
  <c r="J20" i="17"/>
  <c r="K20" i="17"/>
  <c r="L20" i="17"/>
  <c r="A21" i="17"/>
  <c r="B21" i="17"/>
  <c r="D21" i="17"/>
  <c r="J21" i="17"/>
  <c r="K21" i="17"/>
  <c r="L21" i="17"/>
  <c r="A22" i="17"/>
  <c r="B22" i="17"/>
  <c r="D22" i="17"/>
  <c r="J22" i="17"/>
  <c r="K22" i="17"/>
  <c r="L22" i="17"/>
  <c r="A23" i="17"/>
  <c r="B23" i="17"/>
  <c r="D23" i="17"/>
  <c r="J23" i="17"/>
  <c r="K23" i="17"/>
  <c r="L23" i="17"/>
  <c r="L25" i="17"/>
  <c r="A29" i="17"/>
  <c r="B29" i="17"/>
  <c r="D29" i="17"/>
  <c r="L29" i="17"/>
  <c r="L30" i="17"/>
  <c r="L31" i="17"/>
  <c r="L32" i="17"/>
  <c r="L34" i="17"/>
  <c r="G35" i="17"/>
  <c r="L35" i="17"/>
  <c r="L36" i="17" s="1"/>
  <c r="F36" i="17"/>
  <c r="L43" i="17"/>
  <c r="L44" i="17"/>
  <c r="L45" i="17"/>
  <c r="G50" i="17"/>
  <c r="L50" i="17"/>
  <c r="L52" i="17"/>
  <c r="L53" i="17"/>
  <c r="K56" i="17"/>
  <c r="A1" i="18"/>
  <c r="E10" i="18"/>
  <c r="A20" i="18"/>
  <c r="B20" i="18"/>
  <c r="D20" i="18"/>
  <c r="J20" i="18"/>
  <c r="K20" i="18"/>
  <c r="L20" i="18"/>
  <c r="L21" i="18"/>
  <c r="L23" i="18"/>
  <c r="A27" i="18"/>
  <c r="B27" i="18"/>
  <c r="D27" i="18"/>
  <c r="L27" i="18"/>
  <c r="L28" i="18"/>
  <c r="L29" i="18"/>
  <c r="L30" i="18"/>
  <c r="L32" i="18"/>
  <c r="G33" i="18"/>
  <c r="L33" i="18"/>
  <c r="L34" i="18" s="1"/>
  <c r="F34" i="18"/>
  <c r="L41" i="18"/>
  <c r="L42" i="18"/>
  <c r="L43" i="18"/>
  <c r="G48" i="18"/>
  <c r="L48" i="18"/>
  <c r="L51" i="18"/>
  <c r="L52" i="18"/>
  <c r="K55" i="18"/>
  <c r="A1" i="19"/>
  <c r="E10" i="19"/>
  <c r="A20" i="19"/>
  <c r="B20" i="19"/>
  <c r="D20" i="19"/>
  <c r="J20" i="19"/>
  <c r="K20" i="19"/>
  <c r="L20" i="19"/>
  <c r="L21" i="19"/>
  <c r="L23" i="19"/>
  <c r="L27" i="19"/>
  <c r="L28" i="19"/>
  <c r="L29" i="19"/>
  <c r="L31" i="19"/>
  <c r="G32" i="19"/>
  <c r="L32" i="19"/>
  <c r="F33" i="19"/>
  <c r="L33" i="19"/>
  <c r="L34" i="19"/>
  <c r="L36" i="19"/>
  <c r="L40" i="19"/>
  <c r="L41" i="19"/>
  <c r="L42" i="19"/>
  <c r="G47" i="19"/>
  <c r="L47" i="19"/>
  <c r="L50" i="19"/>
  <c r="L51" i="19"/>
  <c r="L53" i="19"/>
  <c r="K54" i="19"/>
  <c r="L54" i="19"/>
  <c r="L55" i="19"/>
  <c r="A1" i="20"/>
  <c r="E10" i="20"/>
  <c r="A20" i="20"/>
  <c r="B20" i="20"/>
  <c r="D20" i="20"/>
  <c r="J20" i="20"/>
  <c r="K20" i="20"/>
  <c r="L20" i="20"/>
  <c r="L21" i="20"/>
  <c r="L23" i="20"/>
  <c r="A27" i="20"/>
  <c r="B27" i="20"/>
  <c r="D27" i="20"/>
  <c r="L27" i="20"/>
  <c r="L28" i="20"/>
  <c r="L29" i="20"/>
  <c r="L30" i="20"/>
  <c r="L32" i="20"/>
  <c r="L33" i="20" s="1"/>
  <c r="G33" i="20"/>
  <c r="F34" i="20"/>
  <c r="L41" i="20"/>
  <c r="L42" i="20"/>
  <c r="L43" i="20"/>
  <c r="G48" i="20"/>
  <c r="L48" i="20"/>
  <c r="L51" i="20"/>
  <c r="L52" i="20"/>
  <c r="K55" i="20"/>
  <c r="A2" i="21"/>
  <c r="E11" i="21"/>
  <c r="L21" i="21"/>
  <c r="L22" i="21"/>
  <c r="L23" i="21"/>
  <c r="L24" i="21"/>
  <c r="L28" i="21"/>
  <c r="L29" i="21"/>
  <c r="L30" i="21"/>
  <c r="L31" i="21"/>
  <c r="L33" i="21"/>
  <c r="G34" i="21"/>
  <c r="L34" i="21"/>
  <c r="L35" i="21"/>
  <c r="L36" i="21"/>
  <c r="L38" i="21"/>
  <c r="A42" i="21"/>
  <c r="D42" i="21"/>
  <c r="H42" i="21"/>
  <c r="J42" i="21"/>
  <c r="K42" i="21"/>
  <c r="L42" i="21"/>
  <c r="L43" i="21"/>
  <c r="L44" i="21"/>
  <c r="L45" i="21"/>
  <c r="L50" i="21"/>
  <c r="L52" i="21"/>
  <c r="L54" i="21"/>
  <c r="K55" i="21"/>
  <c r="L55" i="21"/>
  <c r="L56" i="21"/>
  <c r="A1" i="22"/>
  <c r="E10" i="22"/>
  <c r="L20" i="22"/>
  <c r="L21" i="22"/>
  <c r="L22" i="22"/>
  <c r="L23" i="22"/>
  <c r="L27" i="22"/>
  <c r="L28" i="22"/>
  <c r="L29" i="22"/>
  <c r="L31" i="22"/>
  <c r="G32" i="22"/>
  <c r="L32" i="22"/>
  <c r="L33" i="22"/>
  <c r="L34" i="22"/>
  <c r="L36" i="22"/>
  <c r="A40" i="22"/>
  <c r="D40" i="22"/>
  <c r="H40" i="22"/>
  <c r="J40" i="22"/>
  <c r="K40" i="22"/>
  <c r="L40" i="22"/>
  <c r="A41" i="22"/>
  <c r="D41" i="22"/>
  <c r="H41" i="22"/>
  <c r="J41" i="22"/>
  <c r="K41" i="22"/>
  <c r="L41" i="22"/>
  <c r="L42" i="22"/>
  <c r="L43" i="22"/>
  <c r="L44" i="22"/>
  <c r="L49" i="22"/>
  <c r="L51" i="22"/>
  <c r="L53" i="22"/>
  <c r="K54" i="22"/>
  <c r="L54" i="22"/>
  <c r="L55" i="22"/>
  <c r="A1" i="23"/>
  <c r="E9" i="23"/>
  <c r="A19" i="23"/>
  <c r="B19" i="23"/>
  <c r="D19" i="23"/>
  <c r="J19" i="23"/>
  <c r="K19" i="23"/>
  <c r="L19" i="23"/>
  <c r="L20" i="23"/>
  <c r="L21" i="23"/>
  <c r="A25" i="23"/>
  <c r="B25" i="23"/>
  <c r="D25" i="23"/>
  <c r="L25" i="23"/>
  <c r="A26" i="23"/>
  <c r="B26" i="23"/>
  <c r="D26" i="23"/>
  <c r="L26" i="23"/>
  <c r="L27" i="23"/>
  <c r="L28" i="23"/>
  <c r="L30" i="23" s="1"/>
  <c r="L31" i="23" s="1"/>
  <c r="G31" i="23"/>
  <c r="A39" i="23"/>
  <c r="B39" i="23"/>
  <c r="D39" i="23"/>
  <c r="J39" i="23"/>
  <c r="L39" i="23"/>
  <c r="A40" i="23"/>
  <c r="D40" i="23"/>
  <c r="H40" i="23"/>
  <c r="J40" i="23"/>
  <c r="L40" i="23"/>
  <c r="L44" i="23" s="1"/>
  <c r="A41" i="23"/>
  <c r="D41" i="23"/>
  <c r="J41" i="23"/>
  <c r="L41" i="23"/>
  <c r="A42" i="23"/>
  <c r="D42" i="23"/>
  <c r="H42" i="23"/>
  <c r="J42" i="23"/>
  <c r="L42" i="23"/>
  <c r="L43" i="23"/>
  <c r="A49" i="23"/>
  <c r="B49" i="23"/>
  <c r="D49" i="23"/>
  <c r="G49" i="23"/>
  <c r="I49" i="23"/>
  <c r="J49" i="23"/>
  <c r="K49" i="23"/>
  <c r="I50" i="23"/>
  <c r="J50" i="23"/>
  <c r="K50" i="23"/>
  <c r="L49" i="23"/>
  <c r="L53" i="23"/>
  <c r="K56" i="23"/>
  <c r="A1" i="24"/>
  <c r="E9" i="24"/>
  <c r="A19" i="24"/>
  <c r="B19" i="24"/>
  <c r="D19" i="24"/>
  <c r="J19" i="24"/>
  <c r="K19" i="24"/>
  <c r="L19" i="24"/>
  <c r="L20" i="24"/>
  <c r="L21" i="24"/>
  <c r="A25" i="24"/>
  <c r="B25" i="24"/>
  <c r="D25" i="24"/>
  <c r="L25" i="24"/>
  <c r="L28" i="24" s="1"/>
  <c r="L30" i="24" s="1"/>
  <c r="L31" i="24" s="1"/>
  <c r="A26" i="24"/>
  <c r="B26" i="24"/>
  <c r="D26" i="24"/>
  <c r="L26" i="24"/>
  <c r="L27" i="24"/>
  <c r="G31" i="24"/>
  <c r="A39" i="24"/>
  <c r="B39" i="24"/>
  <c r="D39" i="24"/>
  <c r="J39" i="24"/>
  <c r="L39" i="24"/>
  <c r="A40" i="24"/>
  <c r="D40" i="24"/>
  <c r="H40" i="24"/>
  <c r="J40" i="24"/>
  <c r="L40" i="24"/>
  <c r="A41" i="24"/>
  <c r="D41" i="24"/>
  <c r="J41" i="24"/>
  <c r="L41" i="24"/>
  <c r="L44" i="24" s="1"/>
  <c r="A42" i="24"/>
  <c r="D42" i="24"/>
  <c r="H42" i="24"/>
  <c r="J42" i="24"/>
  <c r="L42" i="24"/>
  <c r="L43" i="24"/>
  <c r="A49" i="24"/>
  <c r="B49" i="24"/>
  <c r="D49" i="24"/>
  <c r="G49" i="24"/>
  <c r="I49" i="24"/>
  <c r="J49" i="24"/>
  <c r="K49" i="24"/>
  <c r="I50" i="24"/>
  <c r="J50" i="24"/>
  <c r="K50" i="24"/>
  <c r="L49" i="24"/>
  <c r="L53" i="24"/>
  <c r="K56" i="24"/>
  <c r="A1" i="25"/>
  <c r="E9" i="25"/>
  <c r="A19" i="25"/>
  <c r="B19" i="25"/>
  <c r="D19" i="25"/>
  <c r="J19" i="25"/>
  <c r="K19" i="25"/>
  <c r="L19" i="25"/>
  <c r="L20" i="25"/>
  <c r="L21" i="25"/>
  <c r="A25" i="25"/>
  <c r="B25" i="25"/>
  <c r="D25" i="25"/>
  <c r="L25" i="25"/>
  <c r="A26" i="25"/>
  <c r="B26" i="25"/>
  <c r="D26" i="25"/>
  <c r="L26" i="25"/>
  <c r="L27" i="25"/>
  <c r="L28" i="25"/>
  <c r="L30" i="25" s="1"/>
  <c r="L31" i="25" s="1"/>
  <c r="F31" i="25"/>
  <c r="G31" i="25"/>
  <c r="A39" i="25"/>
  <c r="B39" i="25"/>
  <c r="D39" i="25"/>
  <c r="J39" i="25"/>
  <c r="L39" i="25"/>
  <c r="L45" i="25" s="1"/>
  <c r="A40" i="25"/>
  <c r="D40" i="25"/>
  <c r="H40" i="25"/>
  <c r="J40" i="25"/>
  <c r="L40" i="25"/>
  <c r="A41" i="25"/>
  <c r="D41" i="25"/>
  <c r="H41" i="25"/>
  <c r="J41" i="25"/>
  <c r="L41" i="25"/>
  <c r="A42" i="25"/>
  <c r="D42" i="25"/>
  <c r="H42" i="25"/>
  <c r="J42" i="25"/>
  <c r="L42" i="25"/>
  <c r="L43" i="25"/>
  <c r="L44" i="25"/>
  <c r="A50" i="25"/>
  <c r="B50" i="25"/>
  <c r="D50" i="25"/>
  <c r="G50" i="25"/>
  <c r="I50" i="25"/>
  <c r="J50" i="25"/>
  <c r="K50" i="25"/>
  <c r="I51" i="25"/>
  <c r="J51" i="25"/>
  <c r="K51" i="25"/>
  <c r="L50" i="25"/>
  <c r="L54" i="25"/>
  <c r="K57" i="25"/>
  <c r="A1" i="26"/>
  <c r="E9" i="26"/>
  <c r="A19" i="26"/>
  <c r="B19" i="26"/>
  <c r="D19" i="26"/>
  <c r="J19" i="26"/>
  <c r="K19" i="26"/>
  <c r="L19" i="26"/>
  <c r="L20" i="26"/>
  <c r="L21" i="26"/>
  <c r="A25" i="26"/>
  <c r="B25" i="26"/>
  <c r="D25" i="26"/>
  <c r="L25" i="26"/>
  <c r="L28" i="26" s="1"/>
  <c r="L30" i="26" s="1"/>
  <c r="L31" i="26" s="1"/>
  <c r="A26" i="26"/>
  <c r="B26" i="26"/>
  <c r="D26" i="26"/>
  <c r="L26" i="26"/>
  <c r="L27" i="26"/>
  <c r="G31" i="26"/>
  <c r="A39" i="26"/>
  <c r="B39" i="26"/>
  <c r="D39" i="26"/>
  <c r="J39" i="26"/>
  <c r="L39" i="26"/>
  <c r="A40" i="26"/>
  <c r="D40" i="26"/>
  <c r="H40" i="26"/>
  <c r="J40" i="26"/>
  <c r="L40" i="26"/>
  <c r="L44" i="26" s="1"/>
  <c r="A41" i="26"/>
  <c r="D41" i="26"/>
  <c r="J41" i="26"/>
  <c r="L41" i="26"/>
  <c r="A42" i="26"/>
  <c r="D42" i="26"/>
  <c r="H42" i="26"/>
  <c r="J42" i="26"/>
  <c r="L42" i="26"/>
  <c r="L43" i="26"/>
  <c r="A49" i="26"/>
  <c r="B49" i="26"/>
  <c r="D49" i="26"/>
  <c r="G49" i="26"/>
  <c r="I49" i="26"/>
  <c r="J49" i="26"/>
  <c r="K49" i="26"/>
  <c r="I50" i="26"/>
  <c r="J50" i="26"/>
  <c r="K50" i="26"/>
  <c r="L49" i="26"/>
  <c r="L53" i="26"/>
  <c r="K56" i="26"/>
  <c r="A1" i="27"/>
  <c r="E9" i="27"/>
  <c r="L19" i="27"/>
  <c r="L20" i="27"/>
  <c r="L21" i="27"/>
  <c r="L25" i="27"/>
  <c r="L26" i="27"/>
  <c r="L27" i="27"/>
  <c r="L29" i="27"/>
  <c r="G30" i="27"/>
  <c r="L30" i="27"/>
  <c r="L31" i="27"/>
  <c r="L32" i="27"/>
  <c r="L34" i="27"/>
  <c r="A38" i="27"/>
  <c r="D38" i="27"/>
  <c r="H38" i="27"/>
  <c r="J38" i="27"/>
  <c r="L38" i="27"/>
  <c r="A39" i="27"/>
  <c r="D39" i="27"/>
  <c r="J39" i="27"/>
  <c r="L39" i="27"/>
  <c r="A40" i="27"/>
  <c r="D40" i="27"/>
  <c r="H40" i="27"/>
  <c r="J40" i="27"/>
  <c r="L40" i="27"/>
  <c r="L41" i="27"/>
  <c r="L42" i="27"/>
  <c r="L48" i="27"/>
  <c r="L52" i="27"/>
  <c r="K55" i="27"/>
  <c r="A1" i="28"/>
  <c r="E10" i="28"/>
  <c r="D16" i="28"/>
  <c r="L20" i="28"/>
  <c r="L21" i="28"/>
  <c r="L22" i="28"/>
  <c r="L26" i="28"/>
  <c r="L27" i="28"/>
  <c r="L28" i="28"/>
  <c r="L30" i="28"/>
  <c r="G31" i="28"/>
  <c r="L31" i="28"/>
  <c r="L32" i="28"/>
  <c r="L33" i="28"/>
  <c r="L35" i="28"/>
  <c r="A39" i="28"/>
  <c r="D39" i="28"/>
  <c r="H39" i="28"/>
  <c r="J39" i="28"/>
  <c r="L39" i="28"/>
  <c r="L44" i="28" s="1"/>
  <c r="L55" i="28" s="1"/>
  <c r="A40" i="28"/>
  <c r="D40" i="28"/>
  <c r="J40" i="28"/>
  <c r="L40" i="28"/>
  <c r="A41" i="28"/>
  <c r="D41" i="28"/>
  <c r="H41" i="28"/>
  <c r="J41" i="28"/>
  <c r="L41" i="28"/>
  <c r="L42" i="28"/>
  <c r="L43" i="28"/>
  <c r="L49" i="28"/>
  <c r="L53" i="28"/>
  <c r="K56" i="28"/>
  <c r="A1" i="29"/>
  <c r="E9" i="29"/>
  <c r="D15" i="29"/>
  <c r="L19" i="29"/>
  <c r="L20" i="29"/>
  <c r="L21" i="29"/>
  <c r="L25" i="29"/>
  <c r="L26" i="29"/>
  <c r="L27" i="29"/>
  <c r="L29" i="29"/>
  <c r="G30" i="29"/>
  <c r="L30" i="29"/>
  <c r="L31" i="29"/>
  <c r="L32" i="29"/>
  <c r="L34" i="29"/>
  <c r="A38" i="29"/>
  <c r="D38" i="29"/>
  <c r="H38" i="29"/>
  <c r="J38" i="29"/>
  <c r="L38" i="29"/>
  <c r="L43" i="29" s="1"/>
  <c r="L54" i="29" s="1"/>
  <c r="A39" i="29"/>
  <c r="D39" i="29"/>
  <c r="H39" i="29"/>
  <c r="J39" i="29"/>
  <c r="L39" i="29"/>
  <c r="A40" i="29"/>
  <c r="D40" i="29"/>
  <c r="H40" i="29"/>
  <c r="J40" i="29"/>
  <c r="L40" i="29"/>
  <c r="L41" i="29"/>
  <c r="L42" i="29"/>
  <c r="L48" i="29"/>
  <c r="L52" i="29"/>
  <c r="K55" i="29"/>
  <c r="A1" i="30"/>
  <c r="E9" i="30"/>
  <c r="L19" i="30"/>
  <c r="L20" i="30"/>
  <c r="L21" i="30"/>
  <c r="L25" i="30"/>
  <c r="L26" i="30"/>
  <c r="L27" i="30"/>
  <c r="L29" i="30"/>
  <c r="G30" i="30"/>
  <c r="L30" i="30"/>
  <c r="L31" i="30"/>
  <c r="L32" i="30"/>
  <c r="L34" i="30"/>
  <c r="A38" i="30"/>
  <c r="D38" i="30"/>
  <c r="H38" i="30"/>
  <c r="J38" i="30"/>
  <c r="L38" i="30"/>
  <c r="L43" i="30" s="1"/>
  <c r="L54" i="30" s="1"/>
  <c r="A39" i="30"/>
  <c r="D39" i="30"/>
  <c r="J39" i="30"/>
  <c r="L39" i="30"/>
  <c r="A40" i="30"/>
  <c r="D40" i="30"/>
  <c r="H40" i="30"/>
  <c r="J40" i="30"/>
  <c r="L40" i="30"/>
  <c r="L41" i="30"/>
  <c r="L42" i="30"/>
  <c r="L48" i="30"/>
  <c r="L52" i="30"/>
  <c r="K55" i="30"/>
  <c r="A1" i="32"/>
  <c r="E9" i="32"/>
  <c r="D15" i="32"/>
  <c r="A19" i="32"/>
  <c r="B19" i="32"/>
  <c r="D19" i="32"/>
  <c r="J19" i="32"/>
  <c r="K19" i="32"/>
  <c r="L19" i="32"/>
  <c r="A20" i="32"/>
  <c r="B20" i="32"/>
  <c r="D20" i="32"/>
  <c r="J20" i="32"/>
  <c r="K20" i="32"/>
  <c r="L20" i="32"/>
  <c r="A21" i="32"/>
  <c r="B21" i="32"/>
  <c r="D21" i="32"/>
  <c r="J21" i="32"/>
  <c r="K21" i="32"/>
  <c r="L21" i="32"/>
  <c r="L22" i="32"/>
  <c r="L23" i="32"/>
  <c r="L24" i="32"/>
  <c r="A28" i="32"/>
  <c r="B28" i="32"/>
  <c r="D28" i="32"/>
  <c r="L28" i="32"/>
  <c r="A29" i="32"/>
  <c r="B29" i="32"/>
  <c r="D29" i="32"/>
  <c r="L29" i="32"/>
  <c r="A30" i="32"/>
  <c r="B30" i="32"/>
  <c r="D30" i="32"/>
  <c r="L30" i="32"/>
  <c r="L31" i="32"/>
  <c r="G35" i="32"/>
  <c r="A43" i="32"/>
  <c r="B43" i="32"/>
  <c r="D43" i="32"/>
  <c r="H43" i="32"/>
  <c r="J43" i="32"/>
  <c r="L43" i="32"/>
  <c r="A44" i="32"/>
  <c r="B44" i="32"/>
  <c r="D44" i="32"/>
  <c r="J44" i="32"/>
  <c r="L44" i="32"/>
  <c r="A45" i="32"/>
  <c r="B45" i="32"/>
  <c r="D45" i="32"/>
  <c r="J45" i="32"/>
  <c r="L45" i="32"/>
  <c r="L48" i="32" s="1"/>
  <c r="A46" i="32"/>
  <c r="D46" i="32"/>
  <c r="J46" i="32"/>
  <c r="L46" i="32"/>
  <c r="L47" i="32"/>
  <c r="A53" i="32"/>
  <c r="B53" i="32"/>
  <c r="D53" i="32"/>
  <c r="G53" i="32"/>
  <c r="I53" i="32"/>
  <c r="J53" i="32"/>
  <c r="K53" i="32"/>
  <c r="I54" i="32"/>
  <c r="J54" i="32"/>
  <c r="K54" i="32"/>
  <c r="L53" i="32"/>
  <c r="A55" i="32"/>
  <c r="B55" i="32"/>
  <c r="D55" i="32"/>
  <c r="G55" i="32"/>
  <c r="I55" i="32"/>
  <c r="J55" i="32"/>
  <c r="K55" i="32"/>
  <c r="I56" i="32"/>
  <c r="J56" i="32"/>
  <c r="K56" i="32"/>
  <c r="L55" i="32"/>
  <c r="A57" i="32"/>
  <c r="B57" i="32"/>
  <c r="D57" i="32"/>
  <c r="G57" i="32"/>
  <c r="I57" i="32"/>
  <c r="J57" i="32"/>
  <c r="K57" i="32"/>
  <c r="I58" i="32"/>
  <c r="J58" i="32"/>
  <c r="K58" i="32"/>
  <c r="L57" i="32"/>
  <c r="L59" i="32"/>
  <c r="L61" i="32"/>
  <c r="K64" i="32"/>
  <c r="A1" i="33"/>
  <c r="E9" i="33"/>
  <c r="D15" i="33"/>
  <c r="A19" i="33"/>
  <c r="B19" i="33"/>
  <c r="D19" i="33"/>
  <c r="J19" i="33"/>
  <c r="K19" i="33"/>
  <c r="L19" i="33"/>
  <c r="A20" i="33"/>
  <c r="B20" i="33"/>
  <c r="D20" i="33"/>
  <c r="J20" i="33"/>
  <c r="K20" i="33"/>
  <c r="L20" i="33"/>
  <c r="A21" i="33"/>
  <c r="B21" i="33"/>
  <c r="D21" i="33"/>
  <c r="J21" i="33"/>
  <c r="K21" i="33"/>
  <c r="L21" i="33"/>
  <c r="L22" i="33"/>
  <c r="L23" i="33"/>
  <c r="A27" i="33"/>
  <c r="B27" i="33"/>
  <c r="D27" i="33"/>
  <c r="L27" i="33"/>
  <c r="A28" i="33"/>
  <c r="B28" i="33"/>
  <c r="D28" i="33"/>
  <c r="A29" i="33"/>
  <c r="B29" i="33"/>
  <c r="D29" i="33"/>
  <c r="L29" i="33"/>
  <c r="L30" i="33"/>
  <c r="G34" i="33"/>
  <c r="A42" i="33"/>
  <c r="B42" i="33"/>
  <c r="D42" i="33"/>
  <c r="H42" i="33"/>
  <c r="J42" i="33"/>
  <c r="L42" i="33"/>
  <c r="A43" i="33"/>
  <c r="B43" i="33"/>
  <c r="D43" i="33"/>
  <c r="J43" i="33"/>
  <c r="L43" i="33"/>
  <c r="A44" i="33"/>
  <c r="B44" i="33"/>
  <c r="D44" i="33"/>
  <c r="J44" i="33"/>
  <c r="L44" i="33"/>
  <c r="L45" i="33"/>
  <c r="A51" i="33"/>
  <c r="B51" i="33"/>
  <c r="D51" i="33"/>
  <c r="G51" i="33"/>
  <c r="I51" i="33"/>
  <c r="J51" i="33"/>
  <c r="K51" i="33"/>
  <c r="I52" i="33"/>
  <c r="J52" i="33"/>
  <c r="K52" i="33"/>
  <c r="L51" i="33"/>
  <c r="A53" i="33"/>
  <c r="B53" i="33"/>
  <c r="D53" i="33"/>
  <c r="G53" i="33"/>
  <c r="I53" i="33"/>
  <c r="J53" i="33"/>
  <c r="K53" i="33"/>
  <c r="I54" i="33"/>
  <c r="J54" i="33"/>
  <c r="K54" i="33"/>
  <c r="L53" i="33"/>
  <c r="A55" i="33"/>
  <c r="B55" i="33"/>
  <c r="D55" i="33"/>
  <c r="G55" i="33"/>
  <c r="I55" i="33"/>
  <c r="J55" i="33"/>
  <c r="K55" i="33"/>
  <c r="I56" i="33"/>
  <c r="J56" i="33"/>
  <c r="K56" i="33"/>
  <c r="L55" i="33"/>
  <c r="L57" i="33"/>
  <c r="L59" i="33"/>
  <c r="K62" i="33"/>
  <c r="A1" i="34"/>
  <c r="E10" i="34"/>
  <c r="D16" i="34"/>
  <c r="A20" i="34"/>
  <c r="B20" i="34"/>
  <c r="D20" i="34"/>
  <c r="J20" i="34"/>
  <c r="K20" i="34"/>
  <c r="L20" i="34"/>
  <c r="L21" i="34"/>
  <c r="L22" i="34"/>
  <c r="L23" i="34"/>
  <c r="A27" i="34"/>
  <c r="B27" i="34"/>
  <c r="D27" i="34"/>
  <c r="L27" i="34"/>
  <c r="L30" i="34" s="1"/>
  <c r="L32" i="34" s="1"/>
  <c r="L33" i="34" s="1"/>
  <c r="L28" i="34"/>
  <c r="L29" i="34"/>
  <c r="G33" i="34"/>
  <c r="F34" i="34"/>
  <c r="L41" i="34"/>
  <c r="L42" i="34"/>
  <c r="L43" i="34"/>
  <c r="G48" i="34"/>
  <c r="L48" i="34"/>
  <c r="L52" i="34"/>
  <c r="K55" i="34"/>
  <c r="A1" i="35"/>
  <c r="E10" i="35"/>
  <c r="D16" i="35"/>
  <c r="A20" i="35"/>
  <c r="B20" i="35"/>
  <c r="D20" i="35"/>
  <c r="J20" i="35"/>
  <c r="K20" i="35"/>
  <c r="L20" i="35"/>
  <c r="L21" i="35"/>
  <c r="L22" i="35"/>
  <c r="L23" i="35"/>
  <c r="L27" i="35"/>
  <c r="L28" i="35"/>
  <c r="L29" i="35"/>
  <c r="L31" i="35"/>
  <c r="G32" i="35"/>
  <c r="L32" i="35"/>
  <c r="F33" i="35"/>
  <c r="L33" i="35"/>
  <c r="L34" i="35"/>
  <c r="L36" i="35"/>
  <c r="L40" i="35"/>
  <c r="L41" i="35"/>
  <c r="L42" i="35"/>
  <c r="G47" i="35"/>
  <c r="L47" i="35"/>
  <c r="L51" i="35"/>
  <c r="L53" i="35"/>
  <c r="K54" i="35"/>
  <c r="L54" i="35"/>
  <c r="L55" i="35"/>
  <c r="A1" i="36"/>
  <c r="E9" i="36"/>
  <c r="A19" i="36"/>
  <c r="B19" i="36"/>
  <c r="D19" i="36"/>
  <c r="J19" i="36"/>
  <c r="K19" i="36"/>
  <c r="L19" i="36"/>
  <c r="A20" i="36"/>
  <c r="B20" i="36"/>
  <c r="D20" i="36"/>
  <c r="J20" i="36"/>
  <c r="K20" i="36"/>
  <c r="L20" i="36"/>
  <c r="A21" i="36"/>
  <c r="B21" i="36"/>
  <c r="D21" i="36"/>
  <c r="J21" i="36"/>
  <c r="K21" i="36"/>
  <c r="L21" i="36"/>
  <c r="A22" i="36"/>
  <c r="B22" i="36"/>
  <c r="D22" i="36"/>
  <c r="J22" i="36"/>
  <c r="K22" i="36"/>
  <c r="L22" i="36"/>
  <c r="A23" i="36"/>
  <c r="B23" i="36"/>
  <c r="D23" i="36"/>
  <c r="J23" i="36"/>
  <c r="K23" i="36"/>
  <c r="L23" i="36"/>
  <c r="L24" i="36"/>
  <c r="L25" i="36"/>
  <c r="L26" i="36"/>
  <c r="A30" i="36"/>
  <c r="B30" i="36"/>
  <c r="D30" i="36"/>
  <c r="L30" i="36"/>
  <c r="L33" i="36" s="1"/>
  <c r="L35" i="36" s="1"/>
  <c r="L36" i="36" s="1"/>
  <c r="L31" i="36"/>
  <c r="L32" i="36"/>
  <c r="G36" i="36"/>
  <c r="F37" i="36"/>
  <c r="L44" i="36"/>
  <c r="L45" i="36"/>
  <c r="L46" i="36"/>
  <c r="G51" i="36"/>
  <c r="L51" i="36"/>
  <c r="L54" i="36"/>
  <c r="L55" i="36"/>
  <c r="K58" i="36"/>
  <c r="A1" i="37"/>
  <c r="E10" i="37"/>
  <c r="D16" i="37"/>
  <c r="A20" i="37"/>
  <c r="B20" i="37"/>
  <c r="D20" i="37"/>
  <c r="J20" i="37"/>
  <c r="K20" i="37"/>
  <c r="L20" i="37"/>
  <c r="L21" i="37"/>
  <c r="L22" i="37"/>
  <c r="L23" i="37"/>
  <c r="A27" i="37"/>
  <c r="B27" i="37"/>
  <c r="D27" i="37"/>
  <c r="L27" i="37"/>
  <c r="L30" i="37" s="1"/>
  <c r="L32" i="37" s="1"/>
  <c r="L33" i="37" s="1"/>
  <c r="L28" i="37"/>
  <c r="L29" i="37"/>
  <c r="G33" i="37"/>
  <c r="F34" i="37"/>
  <c r="L41" i="37"/>
  <c r="L42" i="37"/>
  <c r="L43" i="37"/>
  <c r="G48" i="37"/>
  <c r="L48" i="37"/>
  <c r="L52" i="37"/>
  <c r="K55" i="37"/>
  <c r="A1" i="38"/>
  <c r="E9" i="38"/>
  <c r="D15" i="38"/>
  <c r="A19" i="38"/>
  <c r="B19" i="38"/>
  <c r="D19" i="38"/>
  <c r="J19" i="38"/>
  <c r="K19" i="38"/>
  <c r="L19" i="38"/>
  <c r="L21" i="38"/>
  <c r="A25" i="38"/>
  <c r="B25" i="38"/>
  <c r="D25" i="38"/>
  <c r="L25" i="38"/>
  <c r="L27" i="38" s="1"/>
  <c r="L29" i="38" s="1"/>
  <c r="L30" i="38" s="1"/>
  <c r="L26" i="38"/>
  <c r="G30" i="38"/>
  <c r="A38" i="38"/>
  <c r="B38" i="38"/>
  <c r="D38" i="38"/>
  <c r="J38" i="38"/>
  <c r="L38" i="38"/>
  <c r="L46" i="38" s="1"/>
  <c r="A39" i="38"/>
  <c r="B39" i="38"/>
  <c r="D39" i="38"/>
  <c r="J39" i="38"/>
  <c r="L39" i="38"/>
  <c r="A40" i="38"/>
  <c r="B40" i="38"/>
  <c r="D40" i="38"/>
  <c r="J40" i="38"/>
  <c r="L40" i="38"/>
  <c r="A41" i="38"/>
  <c r="B41" i="38"/>
  <c r="D41" i="38"/>
  <c r="J41" i="38"/>
  <c r="L41" i="38"/>
  <c r="A42" i="38"/>
  <c r="B42" i="38"/>
  <c r="D42" i="38"/>
  <c r="J42" i="38"/>
  <c r="L42" i="38"/>
  <c r="A43" i="38"/>
  <c r="B43" i="38"/>
  <c r="D43" i="38"/>
  <c r="J43" i="38"/>
  <c r="L43" i="38"/>
  <c r="A44" i="38"/>
  <c r="B44" i="38"/>
  <c r="D44" i="38"/>
  <c r="J44" i="38"/>
  <c r="L44" i="38"/>
  <c r="A51" i="38"/>
  <c r="B51" i="38"/>
  <c r="D51" i="38"/>
  <c r="G51" i="38"/>
  <c r="I51" i="38"/>
  <c r="J51" i="38"/>
  <c r="K51" i="38"/>
  <c r="I52" i="38"/>
  <c r="J52" i="38"/>
  <c r="K52" i="38"/>
  <c r="L51" i="38"/>
  <c r="A53" i="38"/>
  <c r="B53" i="38"/>
  <c r="D53" i="38"/>
  <c r="G53" i="38"/>
  <c r="I53" i="38"/>
  <c r="J53" i="38"/>
  <c r="K53" i="38"/>
  <c r="I54" i="38"/>
  <c r="J54" i="38"/>
  <c r="K54" i="38"/>
  <c r="L53" i="38"/>
  <c r="A55" i="38"/>
  <c r="B55" i="38"/>
  <c r="D55" i="38"/>
  <c r="G55" i="38"/>
  <c r="I55" i="38"/>
  <c r="J55" i="38"/>
  <c r="K55" i="38"/>
  <c r="I56" i="38"/>
  <c r="J56" i="38"/>
  <c r="K56" i="38"/>
  <c r="L55" i="38"/>
  <c r="A57" i="38"/>
  <c r="B57" i="38"/>
  <c r="D57" i="38"/>
  <c r="G57" i="38"/>
  <c r="I57" i="38"/>
  <c r="J57" i="38"/>
  <c r="K57" i="38"/>
  <c r="I58" i="38"/>
  <c r="J58" i="38"/>
  <c r="K58" i="38"/>
  <c r="L57" i="38"/>
  <c r="A59" i="38"/>
  <c r="B59" i="38"/>
  <c r="D59" i="38"/>
  <c r="G59" i="38"/>
  <c r="I59" i="38"/>
  <c r="J59" i="38"/>
  <c r="K59" i="38"/>
  <c r="I60" i="38"/>
  <c r="J60" i="38"/>
  <c r="K60" i="38"/>
  <c r="L59" i="38"/>
  <c r="A61" i="38"/>
  <c r="B61" i="38"/>
  <c r="D61" i="38"/>
  <c r="G61" i="38"/>
  <c r="I61" i="38"/>
  <c r="J61" i="38"/>
  <c r="K61" i="38"/>
  <c r="I62" i="38"/>
  <c r="J62" i="38"/>
  <c r="K62" i="38"/>
  <c r="L61" i="38"/>
  <c r="A63" i="38"/>
  <c r="B63" i="38"/>
  <c r="D63" i="38"/>
  <c r="G63" i="38"/>
  <c r="I63" i="38"/>
  <c r="J63" i="38"/>
  <c r="K63" i="38"/>
  <c r="I64" i="38"/>
  <c r="J64" i="38"/>
  <c r="K64" i="38"/>
  <c r="L63" i="38"/>
  <c r="L65" i="38"/>
  <c r="L66" i="38"/>
  <c r="K69" i="38"/>
  <c r="D4" i="4"/>
  <c r="K4" i="4"/>
  <c r="D5" i="4"/>
  <c r="A11" i="4"/>
  <c r="B11" i="4"/>
  <c r="I12" i="4"/>
  <c r="J12" i="4"/>
  <c r="K12" i="4"/>
  <c r="L12" i="4"/>
  <c r="A14" i="4"/>
  <c r="B14" i="4"/>
  <c r="I15" i="4"/>
  <c r="J15" i="4"/>
  <c r="K15" i="4"/>
  <c r="L15" i="4"/>
  <c r="A17" i="4"/>
  <c r="B17" i="4"/>
  <c r="I18" i="4"/>
  <c r="J18" i="4"/>
  <c r="K18" i="4"/>
  <c r="L18" i="4"/>
  <c r="A20" i="4"/>
  <c r="B20" i="4"/>
  <c r="I21" i="4"/>
  <c r="J21" i="4"/>
  <c r="K21" i="4"/>
  <c r="L21" i="4"/>
  <c r="A23" i="4"/>
  <c r="B23" i="4"/>
  <c r="I24" i="4"/>
  <c r="J24" i="4"/>
  <c r="K24" i="4"/>
  <c r="L24" i="4"/>
  <c r="A26" i="4"/>
  <c r="B26" i="4"/>
  <c r="I27" i="4"/>
  <c r="J27" i="4"/>
  <c r="K27" i="4"/>
  <c r="L27" i="4"/>
  <c r="A29" i="4"/>
  <c r="B29" i="4"/>
  <c r="I30" i="4"/>
  <c r="J30" i="4"/>
  <c r="K30" i="4"/>
  <c r="L30" i="4"/>
  <c r="A32" i="4"/>
  <c r="B32" i="4"/>
  <c r="I33" i="4"/>
  <c r="J33" i="4"/>
  <c r="K33" i="4"/>
  <c r="L33" i="4"/>
  <c r="A35" i="4"/>
  <c r="B35" i="4"/>
  <c r="I36" i="4"/>
  <c r="J36" i="4"/>
  <c r="K36" i="4"/>
  <c r="L36" i="4"/>
  <c r="I39" i="4"/>
  <c r="J39" i="4"/>
  <c r="K39" i="4"/>
  <c r="L39" i="4"/>
  <c r="Q29" i="5"/>
  <c r="H12" i="5"/>
  <c r="Q32" i="5" s="1"/>
  <c r="L12" i="5"/>
  <c r="A17" i="5"/>
  <c r="B17" i="5"/>
  <c r="C17" i="5"/>
  <c r="A18" i="5"/>
  <c r="B18" i="5"/>
  <c r="C18" i="5"/>
  <c r="M18" i="5"/>
  <c r="N18" i="5"/>
  <c r="P18" i="5"/>
  <c r="A19" i="5"/>
  <c r="B19" i="5"/>
  <c r="C19" i="5"/>
  <c r="M19" i="5"/>
  <c r="N19" i="5"/>
  <c r="P19" i="5"/>
  <c r="A20" i="5"/>
  <c r="B20" i="5"/>
  <c r="C20" i="5"/>
  <c r="M20" i="5"/>
  <c r="N20" i="5"/>
  <c r="P20" i="5"/>
  <c r="A21" i="5"/>
  <c r="B21" i="5"/>
  <c r="C21" i="5"/>
  <c r="M21" i="5"/>
  <c r="N21" i="5"/>
  <c r="P21" i="5"/>
  <c r="A22" i="5"/>
  <c r="B22" i="5"/>
  <c r="C22" i="5"/>
  <c r="K22" i="5"/>
  <c r="L22" i="5"/>
  <c r="R22" i="5" s="1"/>
  <c r="M22" i="5"/>
  <c r="N22" i="5"/>
  <c r="P22" i="5"/>
  <c r="A23" i="5"/>
  <c r="B23" i="5"/>
  <c r="C23" i="5"/>
  <c r="K23" i="5"/>
  <c r="L23" i="5"/>
  <c r="R23" i="5" s="1"/>
  <c r="M23" i="5"/>
  <c r="N23" i="5"/>
  <c r="P23" i="5"/>
  <c r="A24" i="5"/>
  <c r="B24" i="5"/>
  <c r="C24" i="5"/>
  <c r="M24" i="5"/>
  <c r="N24" i="5"/>
  <c r="P24" i="5"/>
  <c r="A25" i="5"/>
  <c r="B25" i="5"/>
  <c r="C25" i="5"/>
  <c r="N26" i="5"/>
  <c r="O26" i="5"/>
  <c r="P26" i="5"/>
  <c r="M27" i="5"/>
  <c r="N27" i="5"/>
  <c r="P27" i="5"/>
  <c r="B26" i="5"/>
  <c r="C26" i="5"/>
  <c r="K26" i="5"/>
  <c r="B27" i="5"/>
  <c r="C27" i="5"/>
  <c r="A28" i="5"/>
  <c r="B28" i="5"/>
  <c r="C28" i="5"/>
  <c r="K28" i="5"/>
  <c r="L28" i="5"/>
  <c r="R28" i="5" s="1"/>
  <c r="M28" i="5"/>
  <c r="N28" i="5"/>
  <c r="P28" i="5"/>
  <c r="A29" i="5"/>
  <c r="B29" i="5"/>
  <c r="C29" i="5"/>
  <c r="K29" i="5"/>
  <c r="L29" i="5"/>
  <c r="R29" i="5" s="1"/>
  <c r="M29" i="5"/>
  <c r="N29" i="5"/>
  <c r="P29" i="5"/>
  <c r="A30" i="5"/>
  <c r="B30" i="5"/>
  <c r="C30" i="5"/>
  <c r="M30" i="5"/>
  <c r="N30" i="5"/>
  <c r="P30" i="5"/>
  <c r="A31" i="5"/>
  <c r="B31" i="5"/>
  <c r="C31" i="5"/>
  <c r="M31" i="5"/>
  <c r="N31" i="5"/>
  <c r="P31" i="5"/>
  <c r="A32" i="5"/>
  <c r="B32" i="5"/>
  <c r="C32" i="5"/>
  <c r="K32" i="5"/>
  <c r="L32" i="5"/>
  <c r="R32" i="5" s="1"/>
  <c r="M32" i="5"/>
  <c r="N32" i="5"/>
  <c r="P32" i="5"/>
  <c r="A33" i="5"/>
  <c r="B33" i="5"/>
  <c r="C33" i="5"/>
  <c r="M33" i="5"/>
  <c r="N33" i="5"/>
  <c r="P33" i="5"/>
  <c r="A34" i="5"/>
  <c r="B34" i="5"/>
  <c r="C34" i="5"/>
  <c r="K34" i="5"/>
  <c r="L34" i="5"/>
  <c r="R34" i="5" s="1"/>
  <c r="M34" i="5"/>
  <c r="N34" i="5"/>
  <c r="P34" i="5"/>
  <c r="A35" i="5"/>
  <c r="B35" i="5"/>
  <c r="C35" i="5"/>
  <c r="K35" i="5"/>
  <c r="L35" i="5"/>
  <c r="R35" i="5" s="1"/>
  <c r="M35" i="5"/>
  <c r="N35" i="5"/>
  <c r="P35" i="5"/>
  <c r="A36" i="5"/>
  <c r="B36" i="5"/>
  <c r="C36" i="5"/>
  <c r="K36" i="5"/>
  <c r="L36" i="5"/>
  <c r="R36" i="5" s="1"/>
  <c r="M36" i="5"/>
  <c r="N36" i="5"/>
  <c r="P36" i="5"/>
  <c r="A37" i="5"/>
  <c r="B37" i="5"/>
  <c r="C37" i="5"/>
  <c r="K37" i="5"/>
  <c r="L37" i="5"/>
  <c r="R37" i="5" s="1"/>
  <c r="M37" i="5"/>
  <c r="N37" i="5"/>
  <c r="P37" i="5"/>
  <c r="A38" i="5"/>
  <c r="B38" i="5"/>
  <c r="C38" i="5"/>
  <c r="K38" i="5"/>
  <c r="L38" i="5"/>
  <c r="R38" i="5" s="1"/>
  <c r="M38" i="5"/>
  <c r="N38" i="5"/>
  <c r="P38" i="5"/>
  <c r="A39" i="5"/>
  <c r="B39" i="5"/>
  <c r="C39" i="5"/>
  <c r="K39" i="5"/>
  <c r="L39" i="5"/>
  <c r="R39" i="5" s="1"/>
  <c r="M39" i="5"/>
  <c r="N39" i="5"/>
  <c r="P39" i="5"/>
  <c r="A40" i="5"/>
  <c r="B40" i="5"/>
  <c r="C40" i="5"/>
  <c r="K40" i="5"/>
  <c r="L40" i="5"/>
  <c r="R40" i="5" s="1"/>
  <c r="M40" i="5"/>
  <c r="N40" i="5"/>
  <c r="P40" i="5"/>
  <c r="A41" i="5"/>
  <c r="B41" i="5"/>
  <c r="C41" i="5"/>
  <c r="K41" i="5"/>
  <c r="L41" i="5"/>
  <c r="R41" i="5" s="1"/>
  <c r="M41" i="5"/>
  <c r="N41" i="5"/>
  <c r="P41" i="5"/>
  <c r="A42" i="5"/>
  <c r="B42" i="5"/>
  <c r="C42" i="5"/>
  <c r="K42" i="5"/>
  <c r="L42" i="5"/>
  <c r="R42" i="5" s="1"/>
  <c r="M42" i="5"/>
  <c r="N42" i="5"/>
  <c r="P42" i="5"/>
  <c r="A43" i="5"/>
  <c r="B43" i="5"/>
  <c r="C43" i="5"/>
  <c r="K43" i="5"/>
  <c r="L43" i="5"/>
  <c r="R43" i="5" s="1"/>
  <c r="M43" i="5"/>
  <c r="N43" i="5"/>
  <c r="P43" i="5"/>
  <c r="A44" i="5"/>
  <c r="B44" i="5"/>
  <c r="C44" i="5"/>
  <c r="M44" i="5"/>
  <c r="N44" i="5"/>
  <c r="P44" i="5"/>
  <c r="A45" i="5"/>
  <c r="B45" i="5"/>
  <c r="C45" i="5"/>
  <c r="M45" i="5"/>
  <c r="N45" i="5"/>
  <c r="P45" i="5"/>
  <c r="A46" i="5"/>
  <c r="B46" i="5"/>
  <c r="C46" i="5"/>
  <c r="M47" i="5"/>
  <c r="N47" i="5"/>
  <c r="O47" i="5"/>
  <c r="P47" i="5"/>
  <c r="L47" i="5"/>
  <c r="R47" i="5" s="1"/>
  <c r="M48" i="5"/>
  <c r="N48" i="5"/>
  <c r="P48" i="5"/>
  <c r="B47" i="5"/>
  <c r="C47" i="5"/>
  <c r="K47" i="5"/>
  <c r="B48" i="5"/>
  <c r="C48" i="5"/>
  <c r="A49" i="5"/>
  <c r="B49" i="5"/>
  <c r="C49" i="5"/>
  <c r="K49" i="5"/>
  <c r="L49" i="5"/>
  <c r="R49" i="5" s="1"/>
  <c r="M49" i="5"/>
  <c r="N49" i="5"/>
  <c r="P49" i="5"/>
  <c r="A50" i="5"/>
  <c r="B50" i="5"/>
  <c r="C50" i="5"/>
  <c r="K50" i="5"/>
  <c r="L50" i="5"/>
  <c r="R50" i="5" s="1"/>
  <c r="M50" i="5"/>
  <c r="N50" i="5"/>
  <c r="P50" i="5"/>
  <c r="A51" i="5"/>
  <c r="B51" i="5"/>
  <c r="C51" i="5"/>
  <c r="K51" i="5"/>
  <c r="L51" i="5"/>
  <c r="R51" i="5" s="1"/>
  <c r="M51" i="5"/>
  <c r="N51" i="5"/>
  <c r="P51" i="5"/>
  <c r="A52" i="5"/>
  <c r="B52" i="5"/>
  <c r="C52" i="5"/>
  <c r="M53" i="5"/>
  <c r="N53" i="5"/>
  <c r="O53" i="5"/>
  <c r="P53" i="5"/>
  <c r="L53" i="5"/>
  <c r="R53" i="5" s="1"/>
  <c r="M54" i="5"/>
  <c r="N54" i="5"/>
  <c r="P54" i="5"/>
  <c r="B53" i="5"/>
  <c r="C53" i="5"/>
  <c r="K53" i="5"/>
  <c r="B54" i="5"/>
  <c r="C54" i="5"/>
  <c r="A55" i="5"/>
  <c r="B55" i="5"/>
  <c r="C55" i="5"/>
  <c r="M56" i="5"/>
  <c r="N56" i="5"/>
  <c r="O56" i="5"/>
  <c r="P56" i="5"/>
  <c r="L56" i="5"/>
  <c r="R56" i="5" s="1"/>
  <c r="M57" i="5"/>
  <c r="N57" i="5"/>
  <c r="P57" i="5"/>
  <c r="B56" i="5"/>
  <c r="C56" i="5"/>
  <c r="K56" i="5"/>
  <c r="B57" i="5"/>
  <c r="C57" i="5"/>
  <c r="A58" i="5"/>
  <c r="B58" i="5"/>
  <c r="C58" i="5"/>
  <c r="M58" i="5"/>
  <c r="N58" i="5"/>
  <c r="P58" i="5"/>
  <c r="A59" i="5"/>
  <c r="B59" i="5"/>
  <c r="C59" i="5"/>
  <c r="M59" i="5"/>
  <c r="N59" i="5"/>
  <c r="P59" i="5"/>
  <c r="A60" i="5"/>
  <c r="B60" i="5"/>
  <c r="C60" i="5"/>
  <c r="M60" i="5"/>
  <c r="N60" i="5"/>
  <c r="P60" i="5"/>
  <c r="A61" i="5"/>
  <c r="B61" i="5"/>
  <c r="C61" i="5"/>
  <c r="M62" i="5"/>
  <c r="N62" i="5"/>
  <c r="O62" i="5"/>
  <c r="P62" i="5"/>
  <c r="L62" i="5"/>
  <c r="R62" i="5" s="1"/>
  <c r="M63" i="5"/>
  <c r="N63" i="5"/>
  <c r="P63" i="5"/>
  <c r="B62" i="5"/>
  <c r="C62" i="5"/>
  <c r="K62" i="5"/>
  <c r="B63" i="5"/>
  <c r="C63" i="5"/>
  <c r="A64" i="5"/>
  <c r="B64" i="5"/>
  <c r="C64" i="5"/>
  <c r="M65" i="5"/>
  <c r="N65" i="5"/>
  <c r="O65" i="5"/>
  <c r="P65" i="5"/>
  <c r="L65" i="5"/>
  <c r="R65" i="5" s="1"/>
  <c r="M66" i="5"/>
  <c r="N66" i="5"/>
  <c r="P66" i="5"/>
  <c r="B65" i="5"/>
  <c r="C65" i="5"/>
  <c r="K65" i="5"/>
  <c r="B66" i="5"/>
  <c r="C66" i="5"/>
  <c r="A67" i="5"/>
  <c r="B67" i="5"/>
  <c r="C67" i="5"/>
  <c r="K67" i="5"/>
  <c r="L67" i="5"/>
  <c r="R67" i="5" s="1"/>
  <c r="M67" i="5"/>
  <c r="N67" i="5"/>
  <c r="O67" i="5"/>
  <c r="P67" i="5"/>
  <c r="A68" i="5"/>
  <c r="B68" i="5"/>
  <c r="C68" i="5"/>
  <c r="K68" i="5"/>
  <c r="L68" i="5"/>
  <c r="R68" i="5" s="1"/>
  <c r="M68" i="5"/>
  <c r="N68" i="5"/>
  <c r="P68" i="5"/>
  <c r="A69" i="5"/>
  <c r="B69" i="5"/>
  <c r="C69" i="5"/>
  <c r="M70" i="5"/>
  <c r="N70" i="5"/>
  <c r="O70" i="5"/>
  <c r="P70" i="5"/>
  <c r="L70" i="5"/>
  <c r="R70" i="5"/>
  <c r="M71" i="5"/>
  <c r="N71" i="5"/>
  <c r="P71" i="5"/>
  <c r="L71" i="5"/>
  <c r="R71" i="5" s="1"/>
  <c r="M72" i="5"/>
  <c r="N72" i="5"/>
  <c r="P72" i="5"/>
  <c r="B70" i="5"/>
  <c r="C70" i="5"/>
  <c r="K70" i="5"/>
  <c r="B71" i="5"/>
  <c r="C71" i="5"/>
  <c r="K71" i="5"/>
  <c r="B72" i="5"/>
  <c r="C72" i="5"/>
  <c r="A73" i="5"/>
  <c r="B73" i="5"/>
  <c r="C73" i="5"/>
  <c r="M74" i="5"/>
  <c r="N74" i="5"/>
  <c r="O74" i="5"/>
  <c r="P74" i="5"/>
  <c r="L74" i="5"/>
  <c r="R74" i="5"/>
  <c r="M75" i="5"/>
  <c r="N75" i="5"/>
  <c r="P75" i="5"/>
  <c r="B74" i="5"/>
  <c r="C74" i="5"/>
  <c r="K74" i="5"/>
  <c r="B75" i="5"/>
  <c r="C75" i="5"/>
  <c r="A76" i="5"/>
  <c r="B76" i="5"/>
  <c r="C76" i="5"/>
  <c r="K76" i="5"/>
  <c r="L76" i="5"/>
  <c r="R76" i="5" s="1"/>
  <c r="M76" i="5"/>
  <c r="N76" i="5"/>
  <c r="P76" i="5"/>
  <c r="F14" i="6"/>
  <c r="G14" i="6"/>
  <c r="P14" i="6"/>
  <c r="P15" i="6"/>
  <c r="F17" i="6"/>
  <c r="G17" i="6"/>
  <c r="M17" i="6"/>
  <c r="O18" i="6" s="1"/>
  <c r="O17" i="6"/>
  <c r="P17" i="6"/>
  <c r="P18" i="6"/>
  <c r="F20" i="6"/>
  <c r="G20" i="6"/>
  <c r="P20" i="6"/>
  <c r="P21" i="6"/>
  <c r="F23" i="6"/>
  <c r="G23" i="6"/>
  <c r="P23" i="6"/>
  <c r="P24" i="6"/>
  <c r="F26" i="6"/>
  <c r="G26" i="6"/>
  <c r="M26" i="6"/>
  <c r="O27" i="6" s="1"/>
  <c r="P26" i="6"/>
  <c r="P27" i="6"/>
  <c r="F29" i="6"/>
  <c r="G29" i="6"/>
  <c r="P29" i="6"/>
  <c r="P30" i="6"/>
  <c r="F32" i="6"/>
  <c r="G32" i="6"/>
  <c r="P32" i="6"/>
  <c r="P33" i="6"/>
  <c r="F35" i="6"/>
  <c r="G35" i="6"/>
  <c r="P35" i="6"/>
  <c r="P36" i="6"/>
  <c r="F38" i="6"/>
  <c r="G38" i="6"/>
  <c r="P38" i="6"/>
  <c r="P39" i="6"/>
  <c r="J15" i="7"/>
  <c r="J16" i="7"/>
  <c r="J19" i="7" s="1"/>
  <c r="J17" i="7"/>
  <c r="J18" i="7"/>
  <c r="F19" i="7"/>
  <c r="G19" i="7"/>
  <c r="H19" i="7"/>
  <c r="I19" i="7"/>
  <c r="J22" i="7"/>
  <c r="J23" i="7" s="1"/>
  <c r="F23" i="7"/>
  <c r="G23" i="7"/>
  <c r="H23" i="7"/>
  <c r="I23" i="7"/>
  <c r="I26" i="7"/>
  <c r="J26" i="7" s="1"/>
  <c r="I27" i="7"/>
  <c r="J27" i="7" s="1"/>
  <c r="I28" i="7"/>
  <c r="J28" i="7"/>
  <c r="J29" i="7"/>
  <c r="D30" i="7"/>
  <c r="I30" i="7" s="1"/>
  <c r="J30" i="7" s="1"/>
  <c r="H39" i="7"/>
  <c r="C27" i="2"/>
  <c r="J27" i="2"/>
  <c r="C28" i="2"/>
  <c r="E130" i="2"/>
  <c r="E127" i="2"/>
  <c r="K28" i="2"/>
  <c r="N28" i="2"/>
  <c r="K36" i="2"/>
  <c r="K37" i="2"/>
  <c r="E38" i="2"/>
  <c r="K38" i="2"/>
  <c r="E39" i="2"/>
  <c r="K39" i="2"/>
  <c r="E40" i="2"/>
  <c r="K40" i="2"/>
  <c r="E41" i="2"/>
  <c r="K41" i="2"/>
  <c r="E42" i="2"/>
  <c r="K42" i="2"/>
  <c r="E43" i="2"/>
  <c r="K43" i="2"/>
  <c r="E44" i="2"/>
  <c r="K44" i="2"/>
  <c r="E45" i="2"/>
  <c r="K45" i="2"/>
  <c r="E46" i="2"/>
  <c r="K46" i="2"/>
  <c r="E47" i="2"/>
  <c r="K47" i="2"/>
  <c r="E48" i="2"/>
  <c r="K48" i="2"/>
  <c r="E49" i="2"/>
  <c r="F49" i="2"/>
  <c r="K49" i="2"/>
  <c r="E50" i="2"/>
  <c r="K50" i="2"/>
  <c r="E51" i="2"/>
  <c r="K51" i="2"/>
  <c r="E52" i="2"/>
  <c r="K52" i="2"/>
  <c r="E53" i="2"/>
  <c r="K53" i="2"/>
  <c r="E54" i="2"/>
  <c r="F54" i="2"/>
  <c r="K54" i="2"/>
  <c r="E55" i="2"/>
  <c r="K55" i="2"/>
  <c r="E56" i="2"/>
  <c r="K56" i="2"/>
  <c r="E57" i="2"/>
  <c r="K57" i="2"/>
  <c r="E58" i="2"/>
  <c r="K58" i="2"/>
  <c r="E59" i="2"/>
  <c r="K59" i="2"/>
  <c r="E60" i="2"/>
  <c r="K60" i="2"/>
  <c r="E61" i="2"/>
  <c r="K61" i="2"/>
  <c r="E62" i="2"/>
  <c r="K62" i="2"/>
  <c r="E63" i="2"/>
  <c r="K63" i="2"/>
  <c r="E64" i="2"/>
  <c r="K64" i="2"/>
  <c r="E65" i="2"/>
  <c r="K65" i="2"/>
  <c r="E66" i="2"/>
  <c r="K66" i="2"/>
  <c r="K68" i="2"/>
  <c r="E69" i="2"/>
  <c r="K69" i="2"/>
  <c r="E70" i="2"/>
  <c r="K70" i="2"/>
  <c r="E71" i="2"/>
  <c r="K71" i="2"/>
  <c r="E72" i="2"/>
  <c r="K72" i="2"/>
  <c r="E73" i="2"/>
  <c r="K73" i="2"/>
  <c r="E74" i="2"/>
  <c r="K74" i="2"/>
  <c r="E75" i="2"/>
  <c r="K75" i="2"/>
  <c r="E76" i="2"/>
  <c r="K76" i="2"/>
  <c r="E77" i="2"/>
  <c r="K77" i="2"/>
  <c r="E78" i="2"/>
  <c r="K78" i="2"/>
  <c r="E79" i="2"/>
  <c r="K79" i="2"/>
  <c r="E80" i="2"/>
  <c r="K80" i="2"/>
  <c r="E81" i="2"/>
  <c r="K81" i="2"/>
  <c r="E82" i="2"/>
  <c r="K82" i="2"/>
  <c r="E83" i="2"/>
  <c r="K83" i="2"/>
  <c r="E84" i="2"/>
  <c r="K84" i="2"/>
  <c r="E85" i="2"/>
  <c r="K85" i="2"/>
  <c r="E86" i="2"/>
  <c r="K86" i="2"/>
  <c r="E87" i="2"/>
  <c r="K87" i="2"/>
  <c r="E88" i="2"/>
  <c r="K88" i="2"/>
  <c r="K89" i="2"/>
  <c r="K90" i="2"/>
  <c r="E91" i="2"/>
  <c r="K91" i="2"/>
  <c r="E92" i="2"/>
  <c r="K92" i="2"/>
  <c r="E93" i="2"/>
  <c r="K93" i="2"/>
  <c r="E94" i="2"/>
  <c r="K94" i="2"/>
  <c r="E95" i="2"/>
  <c r="K95" i="2"/>
  <c r="E96" i="2"/>
  <c r="K96" i="2"/>
  <c r="E97" i="2"/>
  <c r="K97" i="2"/>
  <c r="E98" i="2"/>
  <c r="K98" i="2"/>
  <c r="E99" i="2"/>
  <c r="K99" i="2"/>
  <c r="E100" i="2"/>
  <c r="K100" i="2"/>
  <c r="E101" i="2"/>
  <c r="K101" i="2"/>
  <c r="E102" i="2"/>
  <c r="K102" i="2"/>
  <c r="E103" i="2"/>
  <c r="K103" i="2"/>
  <c r="E104" i="2"/>
  <c r="K104" i="2"/>
  <c r="E105" i="2"/>
  <c r="K105" i="2"/>
  <c r="K106" i="2"/>
  <c r="K107" i="2"/>
  <c r="P28" i="2"/>
  <c r="E135" i="2"/>
  <c r="N29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I107" i="2"/>
  <c r="J107" i="2"/>
  <c r="P107" i="2"/>
  <c r="Q107" i="2"/>
  <c r="I108" i="2"/>
  <c r="J108" i="2"/>
  <c r="I109" i="2"/>
  <c r="J109" i="2"/>
  <c r="I110" i="2"/>
  <c r="J110" i="2"/>
  <c r="I111" i="2"/>
  <c r="J111" i="2"/>
  <c r="N112" i="2"/>
  <c r="N113" i="2"/>
  <c r="N114" i="2"/>
  <c r="N115" i="2"/>
  <c r="N116" i="2"/>
  <c r="N117" i="2"/>
  <c r="N118" i="2"/>
  <c r="N119" i="2"/>
  <c r="N120" i="2"/>
  <c r="N121" i="2"/>
  <c r="N122" i="2"/>
  <c r="N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I126" i="2"/>
  <c r="I127" i="2"/>
  <c r="I128" i="2"/>
  <c r="L131" i="2"/>
  <c r="M15" i="3"/>
  <c r="N15" i="3" s="1"/>
  <c r="L16" i="3"/>
  <c r="M18" i="3"/>
  <c r="N18" i="3" s="1"/>
  <c r="B14" i="3"/>
  <c r="C14" i="3"/>
  <c r="K14" i="3"/>
  <c r="B15" i="3"/>
  <c r="C15" i="3"/>
  <c r="K15" i="3"/>
  <c r="C16" i="3"/>
  <c r="K16" i="3"/>
  <c r="C17" i="3"/>
  <c r="K17" i="3"/>
  <c r="B18" i="3"/>
  <c r="C18" i="3"/>
  <c r="K18" i="3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B21" i="3"/>
  <c r="C21" i="3"/>
  <c r="K21" i="3"/>
  <c r="B22" i="3"/>
  <c r="C22" i="3"/>
  <c r="K22" i="3"/>
  <c r="B23" i="3"/>
  <c r="C23" i="3"/>
  <c r="K23" i="3"/>
  <c r="K24" i="3"/>
  <c r="K25" i="3"/>
  <c r="K26" i="3"/>
  <c r="B27" i="3"/>
  <c r="C27" i="3"/>
  <c r="K27" i="3"/>
  <c r="B28" i="3"/>
  <c r="C28" i="3"/>
  <c r="K28" i="3"/>
  <c r="B29" i="3"/>
  <c r="C29" i="3"/>
  <c r="K29" i="3"/>
  <c r="B30" i="3"/>
  <c r="C30" i="3"/>
  <c r="K30" i="3"/>
  <c r="B31" i="3"/>
  <c r="C31" i="3"/>
  <c r="K31" i="3"/>
  <c r="B32" i="3"/>
  <c r="C32" i="3"/>
  <c r="K32" i="3"/>
  <c r="B33" i="3"/>
  <c r="C33" i="3"/>
  <c r="K33" i="3"/>
  <c r="B34" i="3"/>
  <c r="C34" i="3"/>
  <c r="K34" i="3"/>
  <c r="L37" i="3"/>
  <c r="L38" i="3"/>
  <c r="M38" i="3"/>
  <c r="B37" i="3"/>
  <c r="C37" i="3"/>
  <c r="K37" i="3"/>
  <c r="B38" i="3"/>
  <c r="C38" i="3"/>
  <c r="K38" i="3"/>
  <c r="L41" i="3"/>
  <c r="L42" i="3"/>
  <c r="L43" i="3"/>
  <c r="M43" i="3"/>
  <c r="M44" i="3"/>
  <c r="N44" i="3" s="1"/>
  <c r="M45" i="3"/>
  <c r="N45" i="3" s="1"/>
  <c r="M46" i="3"/>
  <c r="N46" i="3" s="1"/>
  <c r="M47" i="3"/>
  <c r="N47" i="3" s="1"/>
  <c r="M48" i="3"/>
  <c r="N48" i="3" s="1"/>
  <c r="B41" i="3"/>
  <c r="C41" i="3"/>
  <c r="K41" i="3"/>
  <c r="B42" i="3"/>
  <c r="C42" i="3"/>
  <c r="K42" i="3"/>
  <c r="B43" i="3"/>
  <c r="C43" i="3"/>
  <c r="K43" i="3"/>
  <c r="B44" i="3"/>
  <c r="C44" i="3"/>
  <c r="K44" i="3"/>
  <c r="B45" i="3"/>
  <c r="C45" i="3"/>
  <c r="K45" i="3"/>
  <c r="B46" i="3"/>
  <c r="C46" i="3"/>
  <c r="B47" i="3"/>
  <c r="C47" i="3"/>
  <c r="B48" i="3"/>
  <c r="C48" i="3"/>
  <c r="L51" i="3"/>
  <c r="L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N59" i="3" s="1"/>
  <c r="L60" i="3"/>
  <c r="L61" i="3" s="1"/>
  <c r="M60" i="3"/>
  <c r="M61" i="3"/>
  <c r="M63" i="3"/>
  <c r="L66" i="3"/>
  <c r="N66" i="3" s="1"/>
  <c r="M67" i="3"/>
  <c r="N67" i="3" s="1"/>
  <c r="L68" i="3"/>
  <c r="N68" i="3" s="1"/>
  <c r="M69" i="3"/>
  <c r="N69" i="3" s="1"/>
  <c r="L70" i="3"/>
  <c r="L154" i="3" s="1"/>
  <c r="N154" i="3" s="1"/>
  <c r="M71" i="3"/>
  <c r="N71" i="3" s="1"/>
  <c r="L72" i="3"/>
  <c r="L73" i="3"/>
  <c r="M74" i="3"/>
  <c r="N74" i="3" s="1"/>
  <c r="M75" i="3"/>
  <c r="N75" i="3" s="1"/>
  <c r="B51" i="3"/>
  <c r="C51" i="3"/>
  <c r="K51" i="3"/>
  <c r="B52" i="3"/>
  <c r="C52" i="3"/>
  <c r="K52" i="3"/>
  <c r="B53" i="3"/>
  <c r="C53" i="3"/>
  <c r="K53" i="3"/>
  <c r="B54" i="3"/>
  <c r="C54" i="3"/>
  <c r="K54" i="3"/>
  <c r="B55" i="3"/>
  <c r="C55" i="3"/>
  <c r="K55" i="3"/>
  <c r="B56" i="3"/>
  <c r="C56" i="3"/>
  <c r="K56" i="3"/>
  <c r="B57" i="3"/>
  <c r="C57" i="3"/>
  <c r="K57" i="3"/>
  <c r="B58" i="3"/>
  <c r="C58" i="3"/>
  <c r="K58" i="3"/>
  <c r="B59" i="3"/>
  <c r="C59" i="3"/>
  <c r="K59" i="3"/>
  <c r="B60" i="3"/>
  <c r="C60" i="3"/>
  <c r="K60" i="3"/>
  <c r="B61" i="3"/>
  <c r="C61" i="3"/>
  <c r="K61" i="3"/>
  <c r="B63" i="3"/>
  <c r="C63" i="3"/>
  <c r="K63" i="3"/>
  <c r="C65" i="3"/>
  <c r="K65" i="3"/>
  <c r="C66" i="3"/>
  <c r="K66" i="3"/>
  <c r="B67" i="3"/>
  <c r="C67" i="3"/>
  <c r="K67" i="3"/>
  <c r="C68" i="3"/>
  <c r="K68" i="3"/>
  <c r="B69" i="3"/>
  <c r="C69" i="3"/>
  <c r="K69" i="3"/>
  <c r="C70" i="3"/>
  <c r="K70" i="3"/>
  <c r="B71" i="3"/>
  <c r="C71" i="3"/>
  <c r="K71" i="3"/>
  <c r="C72" i="3"/>
  <c r="K72" i="3"/>
  <c r="C73" i="3"/>
  <c r="K73" i="3"/>
  <c r="B74" i="3"/>
  <c r="C74" i="3"/>
  <c r="K74" i="3"/>
  <c r="B75" i="3"/>
  <c r="C75" i="3"/>
  <c r="K75" i="3"/>
  <c r="B76" i="3"/>
  <c r="C76" i="3"/>
  <c r="K76" i="3"/>
  <c r="M76" i="3"/>
  <c r="B77" i="3"/>
  <c r="C77" i="3"/>
  <c r="K77" i="3"/>
  <c r="M77" i="3"/>
  <c r="L81" i="3"/>
  <c r="M81" i="3"/>
  <c r="L82" i="3"/>
  <c r="L83" i="3"/>
  <c r="M83" i="3"/>
  <c r="L84" i="3"/>
  <c r="L85" i="3"/>
  <c r="M85" i="3"/>
  <c r="L86" i="3"/>
  <c r="M86" i="3"/>
  <c r="L87" i="3"/>
  <c r="M87" i="3"/>
  <c r="L88" i="3"/>
  <c r="N88" i="3" s="1"/>
  <c r="L89" i="3"/>
  <c r="M89" i="3"/>
  <c r="L90" i="3"/>
  <c r="N90" i="3" s="1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N100" i="3" s="1"/>
  <c r="L101" i="3"/>
  <c r="M101" i="3"/>
  <c r="L102" i="3"/>
  <c r="L103" i="3"/>
  <c r="M103" i="3"/>
  <c r="L104" i="3"/>
  <c r="M104" i="3"/>
  <c r="L105" i="3"/>
  <c r="M105" i="3"/>
  <c r="L106" i="3"/>
  <c r="L107" i="3"/>
  <c r="M107" i="3"/>
  <c r="L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M117" i="3"/>
  <c r="N117" i="3" s="1"/>
  <c r="M118" i="3"/>
  <c r="N118" i="3" s="1"/>
  <c r="M119" i="3"/>
  <c r="N119" i="3" s="1"/>
  <c r="M120" i="3"/>
  <c r="N120" i="3" s="1"/>
  <c r="M121" i="3"/>
  <c r="N121" i="3" s="1"/>
  <c r="B81" i="3"/>
  <c r="C81" i="3"/>
  <c r="K81" i="3"/>
  <c r="C82" i="3"/>
  <c r="K82" i="3"/>
  <c r="B83" i="3"/>
  <c r="C83" i="3"/>
  <c r="K83" i="3"/>
  <c r="C84" i="3"/>
  <c r="K84" i="3"/>
  <c r="B85" i="3"/>
  <c r="C85" i="3"/>
  <c r="K85" i="3"/>
  <c r="B86" i="3"/>
  <c r="C86" i="3"/>
  <c r="K86" i="3"/>
  <c r="B87" i="3"/>
  <c r="C87" i="3"/>
  <c r="K87" i="3"/>
  <c r="C88" i="3"/>
  <c r="K88" i="3"/>
  <c r="B89" i="3"/>
  <c r="C89" i="3"/>
  <c r="K89" i="3"/>
  <c r="C90" i="3"/>
  <c r="K90" i="3"/>
  <c r="B91" i="3"/>
  <c r="C91" i="3"/>
  <c r="K91" i="3"/>
  <c r="B92" i="3"/>
  <c r="C92" i="3"/>
  <c r="K92" i="3"/>
  <c r="B93" i="3"/>
  <c r="C93" i="3"/>
  <c r="K93" i="3"/>
  <c r="B94" i="3"/>
  <c r="C94" i="3"/>
  <c r="K94" i="3"/>
  <c r="B95" i="3"/>
  <c r="C95" i="3"/>
  <c r="K95" i="3"/>
  <c r="B96" i="3"/>
  <c r="C96" i="3"/>
  <c r="K96" i="3"/>
  <c r="B97" i="3"/>
  <c r="C97" i="3"/>
  <c r="K97" i="3"/>
  <c r="B98" i="3"/>
  <c r="C98" i="3"/>
  <c r="K98" i="3"/>
  <c r="B99" i="3"/>
  <c r="C99" i="3"/>
  <c r="C100" i="3"/>
  <c r="B101" i="3"/>
  <c r="C101" i="3"/>
  <c r="C102" i="3"/>
  <c r="B103" i="3"/>
  <c r="C103" i="3"/>
  <c r="B104" i="3"/>
  <c r="C104" i="3"/>
  <c r="B105" i="3"/>
  <c r="C105" i="3"/>
  <c r="C106" i="3"/>
  <c r="B107" i="3"/>
  <c r="C107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K117" i="3"/>
  <c r="B118" i="3"/>
  <c r="C118" i="3"/>
  <c r="K118" i="3"/>
  <c r="B119" i="3"/>
  <c r="C119" i="3"/>
  <c r="K119" i="3"/>
  <c r="B120" i="3"/>
  <c r="C120" i="3"/>
  <c r="K120" i="3"/>
  <c r="B121" i="3"/>
  <c r="C121" i="3"/>
  <c r="K121" i="3"/>
  <c r="L124" i="3"/>
  <c r="M126" i="3"/>
  <c r="N126" i="3" s="1"/>
  <c r="L127" i="3"/>
  <c r="M127" i="3"/>
  <c r="M128" i="3"/>
  <c r="N128" i="3" s="1"/>
  <c r="M129" i="3"/>
  <c r="N129" i="3" s="1"/>
  <c r="M130" i="3"/>
  <c r="N130" i="3"/>
  <c r="M131" i="3"/>
  <c r="N131" i="3" s="1"/>
  <c r="M132" i="3"/>
  <c r="N132" i="3" s="1"/>
  <c r="L133" i="3"/>
  <c r="M133" i="3"/>
  <c r="L134" i="3"/>
  <c r="M134" i="3"/>
  <c r="M135" i="3"/>
  <c r="N135" i="3" s="1"/>
  <c r="M138" i="3"/>
  <c r="N138" i="3" s="1"/>
  <c r="M139" i="3"/>
  <c r="N139" i="3" s="1"/>
  <c r="M140" i="3"/>
  <c r="N140" i="3" s="1"/>
  <c r="B124" i="3"/>
  <c r="C124" i="3"/>
  <c r="K124" i="3"/>
  <c r="B125" i="3"/>
  <c r="C125" i="3"/>
  <c r="K125" i="3"/>
  <c r="B126" i="3"/>
  <c r="C126" i="3"/>
  <c r="K126" i="3"/>
  <c r="B127" i="3"/>
  <c r="C127" i="3"/>
  <c r="K127" i="3"/>
  <c r="B128" i="3"/>
  <c r="C128" i="3"/>
  <c r="B129" i="3"/>
  <c r="C129" i="3"/>
  <c r="B130" i="3"/>
  <c r="C130" i="3"/>
  <c r="G130" i="3"/>
  <c r="K130" i="3"/>
  <c r="G131" i="3"/>
  <c r="K131" i="3"/>
  <c r="G132" i="3"/>
  <c r="K132" i="3"/>
  <c r="B133" i="3"/>
  <c r="C133" i="3"/>
  <c r="K133" i="3"/>
  <c r="B134" i="3"/>
  <c r="C134" i="3"/>
  <c r="K134" i="3"/>
  <c r="B135" i="3"/>
  <c r="C135" i="3"/>
  <c r="E135" i="3"/>
  <c r="K135" i="3"/>
  <c r="E136" i="3"/>
  <c r="E137" i="3"/>
  <c r="B138" i="3"/>
  <c r="C138" i="3"/>
  <c r="K138" i="3"/>
  <c r="B139" i="3"/>
  <c r="C139" i="3"/>
  <c r="K139" i="3"/>
  <c r="B140" i="3"/>
  <c r="C140" i="3"/>
  <c r="K140" i="3"/>
  <c r="L143" i="3"/>
  <c r="L146" i="3" s="1"/>
  <c r="M146" i="3"/>
  <c r="L148" i="3"/>
  <c r="N148" i="3" s="1"/>
  <c r="L149" i="3"/>
  <c r="M149" i="3"/>
  <c r="M150" i="3"/>
  <c r="N150" i="3" s="1"/>
  <c r="M151" i="3"/>
  <c r="N151" i="3" s="1"/>
  <c r="B143" i="3"/>
  <c r="C143" i="3"/>
  <c r="K143" i="3"/>
  <c r="B144" i="3"/>
  <c r="C144" i="3"/>
  <c r="K144" i="3"/>
  <c r="K145" i="3"/>
  <c r="B146" i="3"/>
  <c r="C146" i="3"/>
  <c r="K146" i="3"/>
  <c r="K147" i="3"/>
  <c r="C148" i="3"/>
  <c r="K148" i="3"/>
  <c r="B149" i="3"/>
  <c r="C149" i="3"/>
  <c r="K149" i="3"/>
  <c r="B150" i="3"/>
  <c r="C150" i="3"/>
  <c r="K150" i="3"/>
  <c r="B151" i="3"/>
  <c r="C151" i="3"/>
  <c r="K151" i="3"/>
  <c r="L155" i="3"/>
  <c r="M156" i="3"/>
  <c r="N156" i="3" s="1"/>
  <c r="M157" i="3"/>
  <c r="N157" i="3" s="1"/>
  <c r="M158" i="3"/>
  <c r="N158" i="3" s="1"/>
  <c r="B154" i="3"/>
  <c r="C154" i="3"/>
  <c r="K154" i="3"/>
  <c r="B155" i="3"/>
  <c r="C155" i="3"/>
  <c r="K155" i="3"/>
  <c r="B156" i="3"/>
  <c r="C156" i="3"/>
  <c r="K156" i="3"/>
  <c r="B157" i="3"/>
  <c r="C157" i="3"/>
  <c r="K157" i="3"/>
  <c r="B158" i="3"/>
  <c r="C158" i="3"/>
  <c r="K158" i="3"/>
  <c r="B6" i="1"/>
  <c r="B7" i="1"/>
  <c r="B8" i="1"/>
  <c r="E32" i="1"/>
  <c r="F23" i="1"/>
  <c r="E33" i="1"/>
  <c r="E34" i="1"/>
  <c r="H8" i="1"/>
  <c r="B9" i="1"/>
  <c r="G9" i="1"/>
  <c r="E26" i="1"/>
  <c r="E29" i="1"/>
  <c r="D7" i="31"/>
  <c r="D8" i="31"/>
  <c r="D9" i="31"/>
  <c r="D10" i="31"/>
  <c r="D11" i="31"/>
  <c r="D12" i="31"/>
  <c r="D13" i="31"/>
  <c r="D14" i="31"/>
  <c r="D15" i="31"/>
  <c r="D16" i="31"/>
  <c r="D17" i="31"/>
  <c r="H7" i="31"/>
  <c r="H8" i="31"/>
  <c r="H9" i="31"/>
  <c r="H10" i="31"/>
  <c r="H11" i="31"/>
  <c r="H12" i="31"/>
  <c r="H13" i="31"/>
  <c r="H14" i="31"/>
  <c r="H15" i="31"/>
  <c r="H16" i="31"/>
  <c r="H17" i="31"/>
  <c r="D5" i="31"/>
  <c r="C20" i="31"/>
  <c r="D20" i="31"/>
  <c r="G20" i="31"/>
  <c r="G21" i="31"/>
  <c r="G22" i="31"/>
  <c r="D26" i="31"/>
  <c r="D27" i="31"/>
  <c r="D28" i="31"/>
  <c r="D29" i="31"/>
  <c r="D30" i="31"/>
  <c r="D31" i="31"/>
  <c r="D32" i="31"/>
  <c r="D33" i="31"/>
  <c r="D34" i="31"/>
  <c r="D35" i="31"/>
  <c r="D36" i="31"/>
  <c r="H26" i="31"/>
  <c r="H27" i="31"/>
  <c r="H28" i="31"/>
  <c r="H29" i="31"/>
  <c r="H30" i="31"/>
  <c r="H31" i="31"/>
  <c r="H32" i="31"/>
  <c r="H33" i="31"/>
  <c r="H34" i="31"/>
  <c r="H35" i="31"/>
  <c r="H36" i="31"/>
  <c r="D24" i="31"/>
  <c r="C39" i="31"/>
  <c r="D39" i="31"/>
  <c r="G39" i="31"/>
  <c r="G40" i="31"/>
  <c r="G41" i="31"/>
  <c r="G42" i="31"/>
  <c r="G43" i="31"/>
  <c r="G46" i="31"/>
  <c r="G47" i="31"/>
  <c r="C48" i="31"/>
  <c r="G48" i="31"/>
  <c r="G49" i="31"/>
  <c r="G50" i="31"/>
  <c r="G51" i="31"/>
  <c r="C52" i="31"/>
  <c r="G52" i="31"/>
  <c r="G53" i="31"/>
  <c r="C54" i="31"/>
  <c r="G54" i="31"/>
  <c r="C55" i="31"/>
  <c r="G55" i="31"/>
  <c r="G56" i="31"/>
  <c r="G57" i="31"/>
  <c r="G58" i="31"/>
  <c r="C61" i="31"/>
  <c r="F61" i="31"/>
  <c r="B64" i="31"/>
  <c r="C64" i="31"/>
  <c r="D64" i="31"/>
  <c r="E64" i="31"/>
  <c r="B65" i="31"/>
  <c r="C65" i="31"/>
  <c r="D65" i="31"/>
  <c r="E65" i="31"/>
  <c r="B66" i="31"/>
  <c r="C66" i="31"/>
  <c r="D66" i="31"/>
  <c r="E66" i="31"/>
  <c r="A72" i="31"/>
  <c r="B72" i="31"/>
  <c r="C72" i="31"/>
  <c r="G72" i="31"/>
  <c r="A73" i="31"/>
  <c r="B73" i="31"/>
  <c r="C73" i="31"/>
  <c r="G73" i="31"/>
  <c r="A77" i="31"/>
  <c r="B77" i="31"/>
  <c r="H91" i="31"/>
  <c r="C77" i="31"/>
  <c r="D77" i="31"/>
  <c r="E77" i="31"/>
  <c r="F77" i="31"/>
  <c r="H77" i="31"/>
  <c r="A78" i="31"/>
  <c r="B78" i="31"/>
  <c r="C78" i="31"/>
  <c r="D78" i="31"/>
  <c r="E78" i="31"/>
  <c r="F78" i="31"/>
  <c r="H78" i="31"/>
  <c r="H79" i="31"/>
  <c r="E81" i="31"/>
  <c r="A84" i="31"/>
  <c r="B88" i="31"/>
  <c r="N110" i="3" l="1"/>
  <c r="L38" i="4"/>
  <c r="K38" i="4"/>
  <c r="J38" i="4"/>
  <c r="J44" i="4" s="1"/>
  <c r="I38" i="4"/>
  <c r="I44" i="4" s="1"/>
  <c r="I45" i="4" s="1"/>
  <c r="L44" i="4"/>
  <c r="L45" i="4" s="1"/>
  <c r="I31" i="7"/>
  <c r="I35" i="7" s="1"/>
  <c r="I39" i="7" s="1"/>
  <c r="J31" i="7"/>
  <c r="M32" i="6"/>
  <c r="O33" i="6" s="1"/>
  <c r="M29" i="6"/>
  <c r="O30" i="6" s="1"/>
  <c r="M20" i="6"/>
  <c r="O21" i="6" s="1"/>
  <c r="Q21" i="6" s="1"/>
  <c r="R21" i="6" s="1"/>
  <c r="S21" i="6" s="1"/>
  <c r="Q17" i="6"/>
  <c r="M14" i="6"/>
  <c r="O14" i="6" s="1"/>
  <c r="Q14" i="6" s="1"/>
  <c r="R14" i="6" s="1"/>
  <c r="S14" i="6" s="1"/>
  <c r="S63" i="5"/>
  <c r="S31" i="5"/>
  <c r="Q37" i="5"/>
  <c r="S37" i="5" s="1"/>
  <c r="Q50" i="5"/>
  <c r="S50" i="5" s="1"/>
  <c r="Q23" i="5"/>
  <c r="S23" i="5" s="1"/>
  <c r="Q76" i="5"/>
  <c r="S76" i="5" s="1"/>
  <c r="S40" i="5"/>
  <c r="S18" i="5"/>
  <c r="Q20" i="5"/>
  <c r="S20" i="5" s="1"/>
  <c r="T31" i="5"/>
  <c r="Q62" i="5"/>
  <c r="S62" i="5" s="1"/>
  <c r="S61" i="5" s="1"/>
  <c r="Q28" i="5"/>
  <c r="S28" i="5" s="1"/>
  <c r="S22" i="5"/>
  <c r="Q35" i="5"/>
  <c r="S35" i="5" s="1"/>
  <c r="T74" i="5"/>
  <c r="Q51" i="5"/>
  <c r="S51" i="5" s="1"/>
  <c r="Q41" i="5"/>
  <c r="S41" i="5" s="1"/>
  <c r="Q60" i="5"/>
  <c r="S60" i="5" s="1"/>
  <c r="Q26" i="5"/>
  <c r="S26" i="5" s="1"/>
  <c r="Q67" i="5"/>
  <c r="S67" i="5" s="1"/>
  <c r="Q19" i="5"/>
  <c r="S19" i="5" s="1"/>
  <c r="Q74" i="5"/>
  <c r="S74" i="5" s="1"/>
  <c r="Q49" i="5"/>
  <c r="S49" i="5" s="1"/>
  <c r="Q43" i="5"/>
  <c r="S43" i="5" s="1"/>
  <c r="Q39" i="5"/>
  <c r="S39" i="5" s="1"/>
  <c r="S36" i="5"/>
  <c r="Q65" i="5"/>
  <c r="S65" i="5" s="1"/>
  <c r="Q34" i="5"/>
  <c r="S34" i="5" s="1"/>
  <c r="S21" i="5"/>
  <c r="Q70" i="5"/>
  <c r="S70" i="5" s="1"/>
  <c r="T43" i="5"/>
  <c r="Q42" i="5"/>
  <c r="S42" i="5" s="1"/>
  <c r="Q38" i="5"/>
  <c r="S38" i="5" s="1"/>
  <c r="Q33" i="5"/>
  <c r="S33" i="5" s="1"/>
  <c r="T41" i="5"/>
  <c r="T76" i="5"/>
  <c r="Q56" i="5"/>
  <c r="S56" i="5" s="1"/>
  <c r="Q68" i="5"/>
  <c r="S68" i="5" s="1"/>
  <c r="T58" i="5"/>
  <c r="Q53" i="5"/>
  <c r="S53" i="5" s="1"/>
  <c r="T49" i="5"/>
  <c r="Q47" i="5"/>
  <c r="S47" i="5" s="1"/>
  <c r="Q30" i="5"/>
  <c r="S30" i="5" s="1"/>
  <c r="A3" i="12"/>
  <c r="A5" i="13" s="1"/>
  <c r="A5" i="14" s="1"/>
  <c r="A3" i="15" s="1"/>
  <c r="A3" i="16" s="1"/>
  <c r="A3" i="17" s="1"/>
  <c r="A3" i="18" s="1"/>
  <c r="A3" i="19" s="1"/>
  <c r="A3" i="20" s="1"/>
  <c r="A4" i="21" s="1"/>
  <c r="A3" i="22" s="1"/>
  <c r="A3" i="23" s="1"/>
  <c r="A3" i="24" s="1"/>
  <c r="A3" i="25" s="1"/>
  <c r="A3" i="26" s="1"/>
  <c r="A3" i="27" s="1"/>
  <c r="A3" i="28" s="1"/>
  <c r="A3" i="29" s="1"/>
  <c r="A3" i="30" s="1"/>
  <c r="A3" i="32" s="1"/>
  <c r="A3" i="33" s="1"/>
  <c r="A3" i="34" s="1"/>
  <c r="A3" i="35" s="1"/>
  <c r="A3" i="36" s="1"/>
  <c r="A3" i="37" s="1"/>
  <c r="A3" i="38" s="1"/>
  <c r="A3" i="11"/>
  <c r="A4" i="11"/>
  <c r="A4" i="12"/>
  <c r="A6" i="13" s="1"/>
  <c r="A6" i="14" s="1"/>
  <c r="A4" i="15" s="1"/>
  <c r="A4" i="16" s="1"/>
  <c r="A4" i="17" s="1"/>
  <c r="A4" i="18" s="1"/>
  <c r="A4" i="19" s="1"/>
  <c r="A4" i="20" s="1"/>
  <c r="A5" i="21" s="1"/>
  <c r="A4" i="22" s="1"/>
  <c r="A4" i="23" s="1"/>
  <c r="A4" i="24" s="1"/>
  <c r="A4" i="25" s="1"/>
  <c r="A4" i="26" s="1"/>
  <c r="A4" i="27" s="1"/>
  <c r="A4" i="28" s="1"/>
  <c r="A4" i="29" s="1"/>
  <c r="A4" i="30" s="1"/>
  <c r="A4" i="32" s="1"/>
  <c r="A4" i="33" s="1"/>
  <c r="A4" i="34" s="1"/>
  <c r="A4" i="35" s="1"/>
  <c r="A4" i="36" s="1"/>
  <c r="A4" i="37" s="1"/>
  <c r="A4" i="38" s="1"/>
  <c r="N53" i="3"/>
  <c r="N70" i="3"/>
  <c r="N113" i="3"/>
  <c r="N155" i="3"/>
  <c r="N81" i="3"/>
  <c r="N85" i="3"/>
  <c r="N111" i="3"/>
  <c r="N107" i="3"/>
  <c r="N87" i="3"/>
  <c r="N104" i="3"/>
  <c r="N95" i="3"/>
  <c r="N91" i="3"/>
  <c r="N82" i="3"/>
  <c r="N143" i="3"/>
  <c r="N108" i="3"/>
  <c r="N38" i="3"/>
  <c r="N56" i="3"/>
  <c r="N98" i="3"/>
  <c r="N57" i="3"/>
  <c r="N109" i="3"/>
  <c r="N101" i="3"/>
  <c r="N61" i="3"/>
  <c r="N84" i="3"/>
  <c r="N73" i="3"/>
  <c r="N116" i="3"/>
  <c r="N112" i="3"/>
  <c r="N105" i="3"/>
  <c r="N146" i="3"/>
  <c r="N115" i="3"/>
  <c r="N93" i="3"/>
  <c r="N96" i="3"/>
  <c r="N99" i="3"/>
  <c r="N86" i="3"/>
  <c r="N103" i="3"/>
  <c r="N54" i="3"/>
  <c r="N127" i="3"/>
  <c r="N89" i="3"/>
  <c r="N102" i="3"/>
  <c r="N43" i="3"/>
  <c r="N133" i="3"/>
  <c r="N134" i="3"/>
  <c r="N97" i="3"/>
  <c r="N94" i="3"/>
  <c r="N58" i="3"/>
  <c r="N55" i="3"/>
  <c r="N72" i="3"/>
  <c r="N149" i="3"/>
  <c r="N106" i="3"/>
  <c r="N83" i="3"/>
  <c r="N60" i="3"/>
  <c r="N92" i="3"/>
  <c r="N114" i="3"/>
  <c r="L65" i="3"/>
  <c r="N65" i="3" s="1"/>
  <c r="N153" i="3"/>
  <c r="C35" i="4" s="1"/>
  <c r="L63" i="3"/>
  <c r="N63" i="3" s="1"/>
  <c r="L144" i="3"/>
  <c r="N144" i="3" s="1"/>
  <c r="O26" i="6"/>
  <c r="Q26" i="6" s="1"/>
  <c r="R26" i="6" s="1"/>
  <c r="S26" i="6" s="1"/>
  <c r="O29" i="6"/>
  <c r="O38" i="6"/>
  <c r="Q38" i="6" s="1"/>
  <c r="R38" i="6" s="1"/>
  <c r="S38" i="6" s="1"/>
  <c r="L57" i="8"/>
  <c r="O39" i="6"/>
  <c r="O37" i="6"/>
  <c r="R37" i="6" s="1"/>
  <c r="S37" i="6" s="1"/>
  <c r="O36" i="6"/>
  <c r="Q36" i="6" s="1"/>
  <c r="Q35" i="6"/>
  <c r="R35" i="6"/>
  <c r="S35" i="6" s="1"/>
  <c r="R36" i="6"/>
  <c r="S36" i="6" s="1"/>
  <c r="O32" i="6"/>
  <c r="O34" i="6"/>
  <c r="R34" i="6" s="1"/>
  <c r="S34" i="6" s="1"/>
  <c r="Q33" i="6"/>
  <c r="R33" i="6" s="1"/>
  <c r="S33" i="6" s="1"/>
  <c r="O31" i="6"/>
  <c r="R31" i="6" s="1"/>
  <c r="S31" i="6" s="1"/>
  <c r="Q30" i="6"/>
  <c r="R30" i="6"/>
  <c r="S30" i="6" s="1"/>
  <c r="O28" i="6"/>
  <c r="R28" i="6" s="1"/>
  <c r="S28" i="6" s="1"/>
  <c r="Q27" i="6"/>
  <c r="R27" i="6" s="1"/>
  <c r="S27" i="6" s="1"/>
  <c r="Q23" i="6"/>
  <c r="R23" i="6" s="1"/>
  <c r="S23" i="6" s="1"/>
  <c r="O24" i="6"/>
  <c r="O25" i="6"/>
  <c r="R25" i="6" s="1"/>
  <c r="S25" i="6" s="1"/>
  <c r="O22" i="6"/>
  <c r="R22" i="6" s="1"/>
  <c r="S22" i="6" s="1"/>
  <c r="O20" i="6"/>
  <c r="R17" i="6"/>
  <c r="S17" i="6" s="1"/>
  <c r="O19" i="6"/>
  <c r="R19" i="6" s="1"/>
  <c r="S19" i="6" s="1"/>
  <c r="Q18" i="6"/>
  <c r="R18" i="6" s="1"/>
  <c r="S18" i="6" s="1"/>
  <c r="L31" i="38"/>
  <c r="L32" i="38"/>
  <c r="L34" i="38"/>
  <c r="L68" i="38" s="1"/>
  <c r="L34" i="37"/>
  <c r="L37" i="37" s="1"/>
  <c r="L54" i="37" s="1"/>
  <c r="L35" i="37"/>
  <c r="L37" i="36"/>
  <c r="L40" i="36" s="1"/>
  <c r="L57" i="36" s="1"/>
  <c r="L38" i="36"/>
  <c r="L35" i="34"/>
  <c r="L34" i="34"/>
  <c r="L37" i="34" s="1"/>
  <c r="L54" i="34" s="1"/>
  <c r="L46" i="33"/>
  <c r="L31" i="33"/>
  <c r="L33" i="33" s="1"/>
  <c r="L34" i="33" s="1"/>
  <c r="L36" i="33"/>
  <c r="L35" i="33"/>
  <c r="L38" i="33"/>
  <c r="L61" i="33" s="1"/>
  <c r="L32" i="32"/>
  <c r="L34" i="32" s="1"/>
  <c r="L35" i="32" s="1"/>
  <c r="L36" i="32"/>
  <c r="L37" i="32"/>
  <c r="L39" i="32" s="1"/>
  <c r="L55" i="30"/>
  <c r="L56" i="30" s="1"/>
  <c r="L55" i="29"/>
  <c r="L56" i="29"/>
  <c r="L56" i="28"/>
  <c r="L57" i="28" s="1"/>
  <c r="L43" i="27"/>
  <c r="L54" i="27" s="1"/>
  <c r="L55" i="27" s="1"/>
  <c r="L56" i="27" s="1"/>
  <c r="L32" i="26"/>
  <c r="L33" i="26"/>
  <c r="L35" i="26"/>
  <c r="L55" i="26" s="1"/>
  <c r="L32" i="25"/>
  <c r="L35" i="25" s="1"/>
  <c r="L56" i="25" s="1"/>
  <c r="L33" i="25"/>
  <c r="L32" i="24"/>
  <c r="L33" i="24"/>
  <c r="L35" i="24"/>
  <c r="L55" i="24" s="1"/>
  <c r="L32" i="23"/>
  <c r="L33" i="23"/>
  <c r="L35" i="23" s="1"/>
  <c r="L55" i="23" s="1"/>
  <c r="L34" i="20"/>
  <c r="L37" i="20" s="1"/>
  <c r="L54" i="20" s="1"/>
  <c r="L35" i="20"/>
  <c r="L35" i="18"/>
  <c r="L37" i="18" s="1"/>
  <c r="L54" i="18" s="1"/>
  <c r="L37" i="17"/>
  <c r="L39" i="17" s="1"/>
  <c r="L55" i="17" s="1"/>
  <c r="L33" i="16"/>
  <c r="L34" i="16"/>
  <c r="L36" i="16"/>
  <c r="L52" i="16" s="1"/>
  <c r="L30" i="12"/>
  <c r="L32" i="12" s="1"/>
  <c r="L33" i="12" s="1"/>
  <c r="L27" i="10"/>
  <c r="L29" i="10" s="1"/>
  <c r="L30" i="10" s="1"/>
  <c r="L82" i="8"/>
  <c r="L69" i="8"/>
  <c r="L30" i="8"/>
  <c r="L33" i="15"/>
  <c r="L36" i="15" s="1"/>
  <c r="L52" i="15" s="1"/>
  <c r="L34" i="15"/>
  <c r="L37" i="14"/>
  <c r="L39" i="14" s="1"/>
  <c r="L56" i="14" s="1"/>
  <c r="L36" i="13"/>
  <c r="L37" i="13"/>
  <c r="L39" i="13"/>
  <c r="L56" i="13" s="1"/>
  <c r="K48" i="11"/>
  <c r="L48" i="11" s="1"/>
  <c r="K50" i="11"/>
  <c r="L50" i="11" s="1"/>
  <c r="J19" i="11"/>
  <c r="L19" i="11" s="1"/>
  <c r="L21" i="11" s="1"/>
  <c r="L33" i="11" s="1"/>
  <c r="L34" i="11" s="1"/>
  <c r="L35" i="11" s="1"/>
  <c r="L35" i="12"/>
  <c r="L34" i="12"/>
  <c r="L37" i="12" s="1"/>
  <c r="L56" i="12" s="1"/>
  <c r="L91" i="8"/>
  <c r="L76" i="8"/>
  <c r="L75" i="8" s="1"/>
  <c r="L60" i="9"/>
  <c r="L61" i="9" s="1"/>
  <c r="M16" i="3" s="1"/>
  <c r="N16" i="3" s="1"/>
  <c r="L32" i="10"/>
  <c r="L31" i="10"/>
  <c r="L34" i="10" s="1"/>
  <c r="L60" i="10" s="1"/>
  <c r="T75" i="5"/>
  <c r="S75" i="5"/>
  <c r="S72" i="5"/>
  <c r="T71" i="5"/>
  <c r="T66" i="5"/>
  <c r="T67" i="5"/>
  <c r="T62" i="5"/>
  <c r="T63" i="5"/>
  <c r="T56" i="5"/>
  <c r="T59" i="5"/>
  <c r="S57" i="5"/>
  <c r="T60" i="5"/>
  <c r="T53" i="5"/>
  <c r="S54" i="5"/>
  <c r="T51" i="5"/>
  <c r="T47" i="5"/>
  <c r="S48" i="5"/>
  <c r="T42" i="5"/>
  <c r="S29" i="5"/>
  <c r="T36" i="5"/>
  <c r="T40" i="5"/>
  <c r="T27" i="5"/>
  <c r="S44" i="5"/>
  <c r="T30" i="5"/>
  <c r="T22" i="5"/>
  <c r="T38" i="5"/>
  <c r="T34" i="5"/>
  <c r="T29" i="5"/>
  <c r="S24" i="5"/>
  <c r="T18" i="5"/>
  <c r="S45" i="5"/>
  <c r="S32" i="5"/>
  <c r="S27" i="5"/>
  <c r="T20" i="5"/>
  <c r="T26" i="5"/>
  <c r="O15" i="6"/>
  <c r="T70" i="5"/>
  <c r="S71" i="5"/>
  <c r="T72" i="5"/>
  <c r="T65" i="5"/>
  <c r="S66" i="5"/>
  <c r="T68" i="5"/>
  <c r="T57" i="5"/>
  <c r="S59" i="5"/>
  <c r="S58" i="5"/>
  <c r="T54" i="5"/>
  <c r="T48" i="5"/>
  <c r="T50" i="5"/>
  <c r="T35" i="5"/>
  <c r="T33" i="5"/>
  <c r="T39" i="5"/>
  <c r="T37" i="5"/>
  <c r="T32" i="5"/>
  <c r="T45" i="5"/>
  <c r="T44" i="5"/>
  <c r="T28" i="5"/>
  <c r="T21" i="5"/>
  <c r="T24" i="5"/>
  <c r="T23" i="5"/>
  <c r="T19" i="5"/>
  <c r="P17" i="5"/>
  <c r="S17" i="5" s="1"/>
  <c r="F36" i="4" l="1"/>
  <c r="G36" i="4"/>
  <c r="H36" i="4"/>
  <c r="E36" i="4"/>
  <c r="K44" i="4"/>
  <c r="K45" i="4" s="1"/>
  <c r="J45" i="4"/>
  <c r="O16" i="6"/>
  <c r="R16" i="6" s="1"/>
  <c r="S16" i="6" s="1"/>
  <c r="T46" i="5"/>
  <c r="T25" i="5"/>
  <c r="T73" i="5"/>
  <c r="T55" i="5"/>
  <c r="S73" i="5"/>
  <c r="S52" i="5"/>
  <c r="S25" i="5"/>
  <c r="T52" i="5"/>
  <c r="T64" i="5"/>
  <c r="N142" i="3"/>
  <c r="C32" i="4" s="1"/>
  <c r="N79" i="3"/>
  <c r="C26" i="4" s="1"/>
  <c r="Q29" i="6"/>
  <c r="R29" i="6" s="1"/>
  <c r="S29" i="6" s="1"/>
  <c r="L66" i="8"/>
  <c r="Q39" i="6"/>
  <c r="R39" i="6" s="1"/>
  <c r="S39" i="6" s="1"/>
  <c r="Q32" i="6"/>
  <c r="R32" i="6" s="1"/>
  <c r="S32" i="6" s="1"/>
  <c r="Q24" i="6"/>
  <c r="R24" i="6" s="1"/>
  <c r="S24" i="6" s="1"/>
  <c r="Q20" i="6"/>
  <c r="R20" i="6" s="1"/>
  <c r="S20" i="6" s="1"/>
  <c r="L69" i="38"/>
  <c r="L70" i="38" s="1"/>
  <c r="L55" i="37"/>
  <c r="L56" i="37"/>
  <c r="L58" i="36"/>
  <c r="L59" i="36" s="1"/>
  <c r="L56" i="34"/>
  <c r="L55" i="34"/>
  <c r="L62" i="33"/>
  <c r="L63" i="33" s="1"/>
  <c r="L64" i="32"/>
  <c r="L65" i="32" s="1"/>
  <c r="M124" i="3" s="1"/>
  <c r="N124" i="3" s="1"/>
  <c r="N123" i="3" s="1"/>
  <c r="C29" i="4" s="1"/>
  <c r="L56" i="26"/>
  <c r="L57" i="26" s="1"/>
  <c r="L57" i="25"/>
  <c r="L58" i="25"/>
  <c r="L56" i="24"/>
  <c r="L57" i="24" s="1"/>
  <c r="L56" i="23"/>
  <c r="L57" i="23" s="1"/>
  <c r="L55" i="20"/>
  <c r="L56" i="20"/>
  <c r="L55" i="18"/>
  <c r="L56" i="18" s="1"/>
  <c r="L56" i="17"/>
  <c r="L57" i="17"/>
  <c r="L53" i="16"/>
  <c r="L54" i="16"/>
  <c r="L108" i="8"/>
  <c r="L53" i="15"/>
  <c r="L54" i="15" s="1"/>
  <c r="M51" i="3" s="1"/>
  <c r="N51" i="3" s="1"/>
  <c r="N50" i="3" s="1"/>
  <c r="C23" i="4" s="1"/>
  <c r="L57" i="14"/>
  <c r="L58" i="14" s="1"/>
  <c r="M42" i="3" s="1"/>
  <c r="N42" i="3" s="1"/>
  <c r="L57" i="13"/>
  <c r="L58" i="13" s="1"/>
  <c r="M41" i="3" s="1"/>
  <c r="N41" i="3" s="1"/>
  <c r="L36" i="11"/>
  <c r="L38" i="11" s="1"/>
  <c r="K51" i="11" s="1"/>
  <c r="L57" i="12"/>
  <c r="L58" i="12" s="1"/>
  <c r="M37" i="3" s="1"/>
  <c r="N37" i="3" s="1"/>
  <c r="N36" i="3" s="1"/>
  <c r="C17" i="4" s="1"/>
  <c r="L61" i="10"/>
  <c r="L62" i="10" s="1"/>
  <c r="M17" i="3" s="1"/>
  <c r="N17" i="3" s="1"/>
  <c r="S69" i="5"/>
  <c r="S64" i="5"/>
  <c r="T61" i="5"/>
  <c r="S55" i="5"/>
  <c r="S46" i="5"/>
  <c r="Q15" i="6"/>
  <c r="R15" i="6" s="1"/>
  <c r="S15" i="6" s="1"/>
  <c r="T69" i="5"/>
  <c r="G27" i="4" l="1"/>
  <c r="E27" i="4"/>
  <c r="F27" i="4"/>
  <c r="H27" i="4"/>
  <c r="E18" i="4"/>
  <c r="F18" i="4"/>
  <c r="G18" i="4"/>
  <c r="H18" i="4"/>
  <c r="H33" i="4"/>
  <c r="F33" i="4"/>
  <c r="G33" i="4"/>
  <c r="E33" i="4"/>
  <c r="F24" i="4"/>
  <c r="G24" i="4"/>
  <c r="H24" i="4"/>
  <c r="E24" i="4"/>
  <c r="E30" i="4"/>
  <c r="F30" i="4"/>
  <c r="G30" i="4"/>
  <c r="H30" i="4"/>
  <c r="N40" i="3"/>
  <c r="C20" i="4" s="1"/>
  <c r="L110" i="8"/>
  <c r="L111" i="8" s="1"/>
  <c r="L112" i="8" s="1"/>
  <c r="M14" i="3" s="1"/>
  <c r="N14" i="3" s="1"/>
  <c r="N13" i="3" s="1"/>
  <c r="C11" i="4" s="1"/>
  <c r="N168" i="3"/>
  <c r="L59" i="12"/>
  <c r="L51" i="11"/>
  <c r="H21" i="4" l="1"/>
  <c r="G21" i="4"/>
  <c r="F21" i="4"/>
  <c r="E21" i="4"/>
  <c r="F12" i="4"/>
  <c r="E12" i="4"/>
  <c r="G12" i="4"/>
  <c r="H12" i="4"/>
  <c r="K52" i="11"/>
  <c r="L52" i="11" s="1"/>
  <c r="L53" i="11" s="1"/>
  <c r="L55" i="11" s="1"/>
  <c r="L57" i="11" s="1"/>
  <c r="M21" i="3" s="1"/>
  <c r="N21" i="3" s="1"/>
  <c r="N20" i="3" s="1"/>
  <c r="N161" i="3" l="1"/>
  <c r="N163" i="3" s="1"/>
  <c r="C14" i="4"/>
  <c r="E15" i="4" l="1"/>
  <c r="E38" i="4" s="1"/>
  <c r="F15" i="4"/>
  <c r="F38" i="4" s="1"/>
  <c r="G15" i="4"/>
  <c r="G38" i="4" s="1"/>
  <c r="H15" i="4"/>
  <c r="H38" i="4" s="1"/>
  <c r="C38" i="4"/>
  <c r="D14" i="4" s="1"/>
  <c r="G44" i="4" l="1"/>
  <c r="G45" i="4" s="1"/>
  <c r="G40" i="4"/>
  <c r="D20" i="4"/>
  <c r="C43" i="4"/>
  <c r="C40" i="4"/>
  <c r="L40" i="4"/>
  <c r="D35" i="4"/>
  <c r="K40" i="4"/>
  <c r="I40" i="4"/>
  <c r="J40" i="4"/>
  <c r="D29" i="4"/>
  <c r="D26" i="4"/>
  <c r="D17" i="4"/>
  <c r="D23" i="4"/>
  <c r="D32" i="4"/>
  <c r="D11" i="4"/>
  <c r="D40" i="4" s="1"/>
  <c r="H44" i="4"/>
  <c r="H45" i="4"/>
  <c r="H40" i="4"/>
  <c r="F44" i="4"/>
  <c r="F45" i="4" s="1"/>
  <c r="F40" i="4"/>
  <c r="E39" i="4"/>
  <c r="F39" i="4" s="1"/>
  <c r="G39" i="4" s="1"/>
  <c r="H39" i="4" s="1"/>
  <c r="E44" i="4"/>
  <c r="E40" i="4"/>
  <c r="E41" i="4" s="1"/>
  <c r="F41" i="4" s="1"/>
  <c r="G41" i="4" s="1"/>
  <c r="H41" i="4" s="1"/>
  <c r="I41" i="4" s="1"/>
  <c r="J41" i="4" s="1"/>
  <c r="K41" i="4" s="1"/>
  <c r="L41" i="4" s="1"/>
  <c r="E45" i="4" l="1"/>
  <c r="C46" i="4" s="1"/>
  <c r="C45" i="4"/>
  <c r="C47" i="4" l="1"/>
</calcChain>
</file>

<file path=xl/sharedStrings.xml><?xml version="1.0" encoding="utf-8"?>
<sst xmlns="http://schemas.openxmlformats.org/spreadsheetml/2006/main" count="3240" uniqueCount="795">
  <si>
    <t>ESTADO DO PARÁ</t>
  </si>
  <si>
    <t>Prefeitura Municipal de Aurora do Pará</t>
  </si>
  <si>
    <t>PLANILHA DE CAMPO</t>
  </si>
  <si>
    <t>Objeto:</t>
  </si>
  <si>
    <t>Extensão Total (km)</t>
  </si>
  <si>
    <t>Local:</t>
  </si>
  <si>
    <t>Município:</t>
  </si>
  <si>
    <t>Equip. GPS:</t>
  </si>
  <si>
    <t>Data do Levantamento:</t>
  </si>
  <si>
    <t>Pontos</t>
  </si>
  <si>
    <t>Coordenadas Geográficas</t>
  </si>
  <si>
    <t>Altitude</t>
  </si>
  <si>
    <t>Distância até o próximo ponto (m)</t>
  </si>
  <si>
    <t>Distância Acumulada (m)</t>
  </si>
  <si>
    <t>Descrição resumida do ponto inicial</t>
  </si>
  <si>
    <t>Comprim. Obra Arte (m)</t>
  </si>
  <si>
    <t>Latitude</t>
  </si>
  <si>
    <t>Longitude</t>
  </si>
  <si>
    <t>(m)</t>
  </si>
  <si>
    <t>TRECHOS DE CONSTRUÇÃO</t>
  </si>
  <si>
    <t>Extensão do trecho</t>
  </si>
  <si>
    <t>Trecho de Construção</t>
  </si>
  <si>
    <t>TRECHOS DE RECUPERAÇÃO</t>
  </si>
  <si>
    <t>23M</t>
  </si>
  <si>
    <t>INÍCIO DO TRECHO 1 - COMÉRCIO DO DINELSON</t>
  </si>
  <si>
    <t>FINAL DO TRECHO 1 - ESTRADA PEDRO FERREIRA</t>
  </si>
  <si>
    <t>INÍCIO DO TRECHO 2- ACESSO A COM. BOA VISTA</t>
  </si>
  <si>
    <t>FIM DO TRECHO 2 - RAMAL DA BOA VISTA</t>
  </si>
  <si>
    <t>INÍCIO DO TRECHO 3 - LOTE DO SEU IVO</t>
  </si>
  <si>
    <t>FIM DO TRECHO 3 – VILA SÃO PEDRO</t>
  </si>
  <si>
    <t>Trecho de Recuperação</t>
  </si>
  <si>
    <t>JAZIDAS CATALOGADAS</t>
  </si>
  <si>
    <t>ÁREA</t>
  </si>
  <si>
    <t>204123,000</t>
  </si>
  <si>
    <t>9764137,000</t>
  </si>
  <si>
    <t>JAZIDA PRINCIPAL</t>
  </si>
  <si>
    <t>Total</t>
  </si>
  <si>
    <t>PARCIAL CONSTRUÇÃO</t>
  </si>
  <si>
    <t>km</t>
  </si>
  <si>
    <t>PARCIAL RECUPERAÇÃO</t>
  </si>
  <si>
    <t>DISTÂNCIA TOTAL</t>
  </si>
  <si>
    <t>Seção padrão</t>
  </si>
  <si>
    <t>Sim</t>
  </si>
  <si>
    <t>BSTC 40</t>
  </si>
  <si>
    <t>Seção triangular</t>
  </si>
  <si>
    <t>DMT≤50</t>
  </si>
  <si>
    <t>Não</t>
  </si>
  <si>
    <t>BSTC 60</t>
  </si>
  <si>
    <t>SIRGAS 2000</t>
  </si>
  <si>
    <t>Seção cheia</t>
  </si>
  <si>
    <t>50&lt;DMT≤200</t>
  </si>
  <si>
    <t>BSTC 80</t>
  </si>
  <si>
    <t>WGS 84</t>
  </si>
  <si>
    <t>200&lt;DMT≤400</t>
  </si>
  <si>
    <t>BSTC 100</t>
  </si>
  <si>
    <t>400&lt;DMT≤600</t>
  </si>
  <si>
    <t>BSTC 120</t>
  </si>
  <si>
    <t>600&lt;DMT≤800</t>
  </si>
  <si>
    <t>BSTC 150</t>
  </si>
  <si>
    <t>800&lt;DMT≤1000</t>
  </si>
  <si>
    <t>BDTC 40</t>
  </si>
  <si>
    <t>DMT&gt;1000</t>
  </si>
  <si>
    <t>BDTC 60</t>
  </si>
  <si>
    <t>DMT≤50 (2ª Cat)</t>
  </si>
  <si>
    <t>BDTC 80</t>
  </si>
  <si>
    <t>50&lt;DMT≤200 (2ª Cat)</t>
  </si>
  <si>
    <t>BDTC 100</t>
  </si>
  <si>
    <t>200&lt;DMT≤1000 (2ª Cat)</t>
  </si>
  <si>
    <t>BDTC 120</t>
  </si>
  <si>
    <t>DMT≤50 (3ª Cat)</t>
  </si>
  <si>
    <t>BDTC 150</t>
  </si>
  <si>
    <t>BTTC 40</t>
  </si>
  <si>
    <t>BTTC 60</t>
  </si>
  <si>
    <t>BTTC 80</t>
  </si>
  <si>
    <t>BTTC 100</t>
  </si>
  <si>
    <t>BTTC 120</t>
  </si>
  <si>
    <t>BTTC 150</t>
  </si>
  <si>
    <t>Pontilhão</t>
  </si>
  <si>
    <t>Ponte</t>
  </si>
  <si>
    <t>Mata burro</t>
  </si>
  <si>
    <t>P. Molhada</t>
  </si>
  <si>
    <t>NOTA DE SERVIÇOS - TERRAPLENAGEM / OBRAS DE ARTE CORRENTE (OAC) / OBRAS DE ARTE ESPECIAL (OAE)</t>
  </si>
  <si>
    <t>Trecho:</t>
  </si>
  <si>
    <t>Município / UF:</t>
  </si>
  <si>
    <t>Volume da seção padrão:</t>
  </si>
  <si>
    <t>m³ / m</t>
  </si>
  <si>
    <t>Larg. plataforma (m):</t>
  </si>
  <si>
    <t>Extensão:</t>
  </si>
  <si>
    <t xml:space="preserve">OBSERVAÇÃO: </t>
  </si>
  <si>
    <t>As células com fundo VERDE não devem sofrer interferências pelo usuário, devendo este preencher apenas as informações necessárias, encontradas nas células que estão em fundo AMARELO.</t>
  </si>
  <si>
    <t>Larg. Revestimento (m):</t>
  </si>
  <si>
    <t>Ponto</t>
  </si>
  <si>
    <t>Datum:</t>
  </si>
  <si>
    <t>Localização
(km + m)</t>
  </si>
  <si>
    <t>Descrição dos serviços a executar</t>
  </si>
  <si>
    <t>Obras de Arte Corrente (OAC) e Obras de Arte Especiais (OAE) a executar</t>
  </si>
  <si>
    <t>ATERRO</t>
  </si>
  <si>
    <t>Seção longitudinal de cálculo**</t>
  </si>
  <si>
    <t>Conformação da plataforma (m²)</t>
  </si>
  <si>
    <t>Compactação (m³)</t>
  </si>
  <si>
    <t>COORDENADAS UTM</t>
  </si>
  <si>
    <t>Extensão (m)</t>
  </si>
  <si>
    <t>Altura* (m)</t>
  </si>
  <si>
    <t>DMT (m)</t>
  </si>
  <si>
    <t>Volume (m³)</t>
  </si>
  <si>
    <t>Zona</t>
  </si>
  <si>
    <t>E</t>
  </si>
  <si>
    <t>N</t>
  </si>
  <si>
    <t>Início</t>
  </si>
  <si>
    <t>Final</t>
  </si>
  <si>
    <t>Tipo</t>
  </si>
  <si>
    <t>Comp. (m)</t>
  </si>
  <si>
    <t>Quant. Alas Bueiro (un)</t>
  </si>
  <si>
    <t>Parcial</t>
  </si>
  <si>
    <t>Acumulado</t>
  </si>
  <si>
    <t>Início do Trecho - Comércio do Dinelson</t>
  </si>
  <si>
    <t>Seção Padrão</t>
  </si>
  <si>
    <t>Ponte em madeira de lei com estacas cravadas</t>
  </si>
  <si>
    <t>Seção Padrão – curva à direita</t>
  </si>
  <si>
    <t>BSTC Ø = 1,00 m com bocas em pedras argamassadas, rebocadas</t>
  </si>
  <si>
    <t>BSTC Ø = 0,60 m com bocas em pedras argamassadas, rebocadas</t>
  </si>
  <si>
    <t>Seção Padrão – cruzamento do ramal Boa Vista</t>
  </si>
  <si>
    <t>Seção Padrão – Fim do Trecho ( Comunidade Mangueirão )</t>
  </si>
  <si>
    <t>Início do trecho - Acesso à Com. Boa Vista</t>
  </si>
  <si>
    <t>BDTC Ø = 1,00 m com bocas em pedras argamassadas, rebocadas</t>
  </si>
  <si>
    <t>Seção Padrão – Fim do Trecho ( Ramal da Boa vista )</t>
  </si>
  <si>
    <t>Início Do Trecho - Lote Do Seu Ivo</t>
  </si>
  <si>
    <t>BDTC Ø = 0,60 m com bocas em pedras argamassadas, rebocadas. Fim do Trecho ( Vila São Pedro )</t>
  </si>
  <si>
    <t>OBSERVAÇÕES:</t>
  </si>
  <si>
    <t>Resumo Serviços de Terraplenagem</t>
  </si>
  <si>
    <t>Seção padrão - DMT≤50</t>
  </si>
  <si>
    <t xml:space="preserve">*  Recobrimentos de bueiros padrões (mínimos): BSTC Ø = 0,40 m =&gt; 0,20 m; BSTC Ø = 0,60 m =&gt; 0,40 m; BSTC Ø = 0,80 m =&gt; 0,60 m; Acima de BSTC Ø = 1,00 m =&gt; 0,80 m. </t>
  </si>
  <si>
    <t xml:space="preserve">** Seção cheia - para regiões predominantemente planas;  Seção triangular - para regiões de relevo predominantemente acidentado   </t>
  </si>
  <si>
    <t>CARACTERÍSTICAS GERAIS DAS VICINAIS</t>
  </si>
  <si>
    <t>Desmatamento</t>
  </si>
  <si>
    <t>Larg. desmat. e limp. cam. veget.=</t>
  </si>
  <si>
    <t>m</t>
  </si>
  <si>
    <t>Larg. desmat. árvores ≤ 0,15 m =</t>
  </si>
  <si>
    <t>Larg. desmat. árvores &gt; 0,15 m =</t>
  </si>
  <si>
    <t>Terraplenagem</t>
  </si>
  <si>
    <t>Volume da seção padrão =</t>
  </si>
  <si>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/ m</t>
    </r>
  </si>
  <si>
    <t>Plataforma final terraplenagem =</t>
  </si>
  <si>
    <t xml:space="preserve">Altura da seção padrão = </t>
  </si>
  <si>
    <t>Base do aterro (distância entre linhas d'água - inclinação de talude em 2 / 3) =</t>
  </si>
  <si>
    <t>Caixas de retenção</t>
  </si>
  <si>
    <t>Compactação de falso greide?</t>
  </si>
  <si>
    <t>Quantidade média =</t>
  </si>
  <si>
    <t>un/km</t>
  </si>
  <si>
    <t>Dimensões =</t>
  </si>
  <si>
    <t>(C  L H) m - Trapezoidal</t>
  </si>
  <si>
    <t>Revestimento</t>
  </si>
  <si>
    <t xml:space="preserve">Fator de empolamento do solo = </t>
  </si>
  <si>
    <t>Lombadas</t>
  </si>
  <si>
    <t>Plataforma final do revestimento =</t>
  </si>
  <si>
    <t xml:space="preserve">Espessura do revestimento = </t>
  </si>
  <si>
    <t>(C  L  H) m - Trapezoidal</t>
  </si>
  <si>
    <t xml:space="preserve">Trecho a ser revestido = </t>
  </si>
  <si>
    <t>km de revestimento / km de vicinal</t>
  </si>
  <si>
    <t>Drenagem</t>
  </si>
  <si>
    <t>Extensão dos bigodes =</t>
  </si>
  <si>
    <t>m/km</t>
  </si>
  <si>
    <t>Discriminação dos serviços</t>
  </si>
  <si>
    <t>Unid.</t>
  </si>
  <si>
    <t>Quant.</t>
  </si>
  <si>
    <t>Preço unitário (R$)</t>
  </si>
  <si>
    <t>Preço total  (R$)</t>
  </si>
  <si>
    <t>I</t>
  </si>
  <si>
    <t xml:space="preserve"> - SERVIÇOS PRELIMINARES, MOBILIZAÇÃO E INSTALAÇÃO DE CANTEIRO</t>
  </si>
  <si>
    <t>1.2</t>
  </si>
  <si>
    <t>1.3</t>
  </si>
  <si>
    <t>II</t>
  </si>
  <si>
    <t xml:space="preserve"> - ELABORAÇÃO DE PROJETOS, ESTUDOS TÉCNICOS E TOPOGRAFIA</t>
  </si>
  <si>
    <t>2.3.1        Vão da ponte (m):</t>
  </si>
  <si>
    <t>2.3.2        Vão da ponte (m):</t>
  </si>
  <si>
    <t>2.3.3        Vão da ponte (m):</t>
  </si>
  <si>
    <t>2.3.4        Vão da ponte (m):</t>
  </si>
  <si>
    <t>III</t>
  </si>
  <si>
    <t xml:space="preserve"> - ADMINISTRAÇÃO LOCAL E SEGURANÇA</t>
  </si>
  <si>
    <t>IV</t>
  </si>
  <si>
    <t xml:space="preserve"> - DESMATAMENTO E LIMPEZA</t>
  </si>
  <si>
    <t>V</t>
  </si>
  <si>
    <t xml:space="preserve"> - TERRAPLENAGEM</t>
  </si>
  <si>
    <t xml:space="preserve"> </t>
  </si>
  <si>
    <t xml:space="preserve">DMT (km) = </t>
  </si>
  <si>
    <t xml:space="preserve">Peso Espec. (ton/m³) = </t>
  </si>
  <si>
    <t xml:space="preserve">Fator empolam. (%) = </t>
  </si>
  <si>
    <t>5.3</t>
  </si>
  <si>
    <t>5.4</t>
  </si>
  <si>
    <t>5.5</t>
  </si>
  <si>
    <t>5.6</t>
  </si>
  <si>
    <t>Percentural de expurgo =</t>
  </si>
  <si>
    <t>5.7</t>
  </si>
  <si>
    <t>5.8</t>
  </si>
  <si>
    <t>VI</t>
  </si>
  <si>
    <t xml:space="preserve"> - OBRAS DE ARTES CORRENTES</t>
  </si>
  <si>
    <t>Material utilizado nas bocas de bueiro e caixas coletoras (indicar ao lado):</t>
  </si>
  <si>
    <t>Concreto ciclópico</t>
  </si>
  <si>
    <t>6.1</t>
  </si>
  <si>
    <t>6.2</t>
  </si>
  <si>
    <t>6.3</t>
  </si>
  <si>
    <t>6.4</t>
  </si>
  <si>
    <t>Conc. Ciclop.</t>
  </si>
  <si>
    <t>Pedra Arg.</t>
  </si>
  <si>
    <t>un</t>
  </si>
  <si>
    <t>6.5</t>
  </si>
  <si>
    <t>6.6</t>
  </si>
  <si>
    <t>6.7</t>
  </si>
  <si>
    <t>6.8</t>
  </si>
  <si>
    <t>VII</t>
  </si>
  <si>
    <t xml:space="preserve"> - OBRAS DE ARTES ESPECIAIS, SINALIZAÇÕES E MATA BURRO</t>
  </si>
  <si>
    <t>*</t>
  </si>
  <si>
    <t>VIII</t>
  </si>
  <si>
    <t xml:space="preserve"> - REVESTIMENTO PRIMÁRIO</t>
  </si>
  <si>
    <t>Tipo de material:</t>
  </si>
  <si>
    <t>1ª Categoria</t>
  </si>
  <si>
    <t>8.3</t>
  </si>
  <si>
    <t>IX</t>
  </si>
  <si>
    <t xml:space="preserve"> - RECUPERAÇÃO AMBIENTAL DE ÁREA DE EMPRÉSTIMO</t>
  </si>
  <si>
    <t>TOTAL</t>
  </si>
  <si>
    <t>Preço por quilômetro de estrada</t>
  </si>
  <si>
    <t>Obs:</t>
  </si>
  <si>
    <t>Em todas as composições deve ser verificada se há a necessidade de preenchimento de informações de alguma eventual célula, principalmente quanto ao transporte em rodovia em leito natural, revestimento primário ou pavimentada.</t>
  </si>
  <si>
    <t>As bacias de acumulação (micro bacias - item 3.20) serão executadas nas laterais da estrada para acúmulo de água pluvial, evitando que a mesma escoe por longos trechos, erodindo o solo em sua passagem. A distância entre elas será de acordo com o trecho e sua profundidade deve ser abaixo do nível da estrada.</t>
  </si>
  <si>
    <t>A partir do volume de material compactado em 8.4, para o cálculo dos volumes de material no corte em 6.1 foram adotados os fatores de homegeneização indicados pelo DNIT no Manual de Implantação Básica de Rodovias - IPR 742 (pág. 497), onde Fh é 1,0 para material de 1ª categoria, 1,15 para material de 2ª categoria e 1,45 para material de 3ª categoria (em materiais não ensaiados). Fh = Dcomp/Dcorte</t>
  </si>
  <si>
    <t>Estabilização Química de Solo</t>
  </si>
  <si>
    <t>CRONOGRAMA  FÍSICO - FINANCEIRO</t>
  </si>
  <si>
    <t>Obra:</t>
  </si>
  <si>
    <t>Km</t>
  </si>
  <si>
    <t>Prazo de execução:</t>
  </si>
  <si>
    <t>dias</t>
  </si>
  <si>
    <t>Data:</t>
  </si>
  <si>
    <t>ITEM</t>
  </si>
  <si>
    <t>ETAPAS</t>
  </si>
  <si>
    <t>VALOR TOTAL</t>
  </si>
  <si>
    <t>%</t>
  </si>
  <si>
    <t>PERÍODO (dias)</t>
  </si>
  <si>
    <t>Preço parciais ( R$ )</t>
  </si>
  <si>
    <t>R$</t>
  </si>
  <si>
    <t>Preço acumulados ( R$ )</t>
  </si>
  <si>
    <t>Percentuais parciais ( % )</t>
  </si>
  <si>
    <t>Percentuais acumulados ( % )</t>
  </si>
  <si>
    <t>/ km</t>
  </si>
  <si>
    <t>Contrapartida proposta ( % ) =</t>
  </si>
  <si>
    <t>Proponente</t>
  </si>
  <si>
    <t xml:space="preserve"> Proponente =</t>
  </si>
  <si>
    <t>Convenente</t>
  </si>
  <si>
    <t>Convenente =</t>
  </si>
  <si>
    <t>Total =</t>
  </si>
  <si>
    <t>PLANILHA DE CUSTOS DE EQUIPAMENTOS</t>
  </si>
  <si>
    <r>
      <rPr>
        <b/>
        <i/>
        <sz val="10"/>
        <rFont val="Arial"/>
        <family val="2"/>
      </rPr>
      <t>D</t>
    </r>
    <r>
      <rPr>
        <sz val="10"/>
        <rFont val="Arial"/>
        <family val="2"/>
      </rPr>
      <t xml:space="preserve"> - Óleo Diesel Comum (R$ / litro) = </t>
    </r>
  </si>
  <si>
    <r>
      <rPr>
        <b/>
        <i/>
        <sz val="10"/>
        <rFont val="Arial"/>
        <family val="2"/>
      </rPr>
      <t>G</t>
    </r>
    <r>
      <rPr>
        <sz val="10"/>
        <rFont val="Arial"/>
        <family val="2"/>
      </rPr>
      <t xml:space="preserve"> - Gasolina Comum (R$ / litro) = </t>
    </r>
  </si>
  <si>
    <r>
      <rPr>
        <b/>
        <i/>
        <sz val="10"/>
        <rFont val="Arial"/>
        <family val="2"/>
      </rPr>
      <t>E</t>
    </r>
    <r>
      <rPr>
        <sz val="10"/>
        <rFont val="Arial"/>
        <family val="2"/>
      </rPr>
      <t xml:space="preserve"> - Energia (R$ / kw / h) =  </t>
    </r>
  </si>
  <si>
    <r>
      <rPr>
        <b/>
        <i/>
        <sz val="10"/>
        <rFont val="Arial"/>
        <family val="2"/>
      </rPr>
      <t>Observação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Cálculos considerados com equipamentos operando nas condições em</t>
    </r>
    <r>
      <rPr>
        <b/>
        <sz val="10"/>
        <rFont val="Arial"/>
        <family val="2"/>
      </rPr>
      <t xml:space="preserve"> nível médio</t>
    </r>
    <r>
      <rPr>
        <sz val="10"/>
        <rFont val="Arial"/>
        <family val="2"/>
      </rPr>
      <t>.</t>
    </r>
  </si>
  <si>
    <t xml:space="preserve">Índice decimal para impostos e seguro obrigatório de veículos (I) = </t>
  </si>
  <si>
    <t xml:space="preserve">Taxa de juros ao ano (i) = </t>
  </si>
  <si>
    <t>Código</t>
  </si>
  <si>
    <t>Equipamento</t>
  </si>
  <si>
    <t>Potência (kw)</t>
  </si>
  <si>
    <r>
      <rPr>
        <sz val="10"/>
        <rFont val="Arial"/>
        <family val="2"/>
      </rPr>
      <t xml:space="preserve">Vida útil em anos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</si>
  <si>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 xml:space="preserve">Horas / Ano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HTA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</si>
  <si>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 xml:space="preserve">Valor de aquisição  - </t>
    </r>
    <r>
      <rPr>
        <b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a</t>
    </r>
    <r>
      <rPr>
        <sz val="10"/>
        <rFont val="Arial"/>
        <family val="2"/>
      </rPr>
      <t xml:space="preserve">           (R$)</t>
    </r>
  </si>
  <si>
    <r>
      <rPr>
        <sz val="10"/>
        <rFont val="Arial"/>
        <family val="2"/>
      </rPr>
      <t xml:space="preserve">Valor residual  - </t>
    </r>
    <r>
      <rPr>
        <b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r</t>
    </r>
    <r>
      <rPr>
        <b/>
        <vertAlign val="subscript"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(%)</t>
    </r>
  </si>
  <si>
    <t>Tipo de Combust.</t>
  </si>
  <si>
    <r>
      <rPr>
        <sz val="10"/>
        <rFont val="Arial"/>
        <family val="2"/>
      </rPr>
      <t xml:space="preserve">Coefic. de manut.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)</t>
    </r>
  </si>
  <si>
    <t>Operador (R$ / h)</t>
  </si>
  <si>
    <t>Custo de propriedade</t>
  </si>
  <si>
    <r>
      <rPr>
        <sz val="10"/>
        <rFont val="Arial"/>
        <family val="2"/>
      </rPr>
      <t xml:space="preserve">Custo de manut. - </t>
    </r>
    <r>
      <rPr>
        <b/>
        <sz val="12"/>
        <rFont val="Arial"/>
        <family val="2"/>
      </rPr>
      <t>M</t>
    </r>
    <r>
      <rPr>
        <b/>
        <vertAlign val="subscript"/>
        <sz val="12"/>
        <rFont val="Arial"/>
        <family val="2"/>
      </rPr>
      <t>h</t>
    </r>
    <r>
      <rPr>
        <sz val="10"/>
        <rFont val="Arial"/>
        <family val="2"/>
      </rPr>
      <t xml:space="preserve">   (R$/h)</t>
    </r>
  </si>
  <si>
    <t>Custo de operação</t>
  </si>
  <si>
    <t>Custo operacional</t>
  </si>
  <si>
    <r>
      <rPr>
        <sz val="10"/>
        <rFont val="Arial"/>
        <family val="2"/>
      </rPr>
      <t xml:space="preserve">Deprec. - 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h</t>
    </r>
    <r>
      <rPr>
        <b/>
        <vertAlign val="subscript"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(R$/h)</t>
    </r>
  </si>
  <si>
    <r>
      <rPr>
        <sz val="10"/>
        <rFont val="Arial"/>
        <family val="2"/>
      </rPr>
      <t xml:space="preserve">Oport Cap </t>
    </r>
    <r>
      <rPr>
        <b/>
        <sz val="12"/>
        <rFont val="Arial"/>
        <family val="2"/>
      </rPr>
      <t>J</t>
    </r>
    <r>
      <rPr>
        <b/>
        <vertAlign val="subscript"/>
        <sz val="12"/>
        <rFont val="Arial"/>
        <family val="2"/>
      </rPr>
      <t>h</t>
    </r>
    <r>
      <rPr>
        <sz val="10"/>
        <rFont val="Arial"/>
        <family val="2"/>
      </rPr>
      <t xml:space="preserve">     (R$/h)</t>
    </r>
  </si>
  <si>
    <r>
      <rPr>
        <sz val="10"/>
        <rFont val="Arial"/>
        <family val="2"/>
      </rPr>
      <t xml:space="preserve">Imp./Seg. </t>
    </r>
    <r>
      <rPr>
        <b/>
        <sz val="12"/>
        <rFont val="Arial"/>
        <family val="2"/>
      </rPr>
      <t>I</t>
    </r>
    <r>
      <rPr>
        <b/>
        <vertAlign val="subscript"/>
        <sz val="12"/>
        <rFont val="Arial"/>
        <family val="2"/>
      </rPr>
      <t>h</t>
    </r>
    <r>
      <rPr>
        <sz val="10"/>
        <rFont val="Arial"/>
        <family val="2"/>
      </rPr>
      <t xml:space="preserve">     (R$/h)</t>
    </r>
  </si>
  <si>
    <r>
      <rPr>
        <sz val="10"/>
        <rFont val="Arial"/>
        <family val="2"/>
      </rPr>
      <t xml:space="preserve">Material 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   (R$/h)</t>
    </r>
  </si>
  <si>
    <r>
      <rPr>
        <sz val="10"/>
        <rFont val="Arial"/>
        <family val="2"/>
      </rPr>
      <t xml:space="preserve">Mão Obra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mo</t>
    </r>
    <r>
      <rPr>
        <sz val="10"/>
        <rFont val="Arial"/>
        <family val="2"/>
      </rPr>
      <t xml:space="preserve">  (R$/h)</t>
    </r>
  </si>
  <si>
    <r>
      <rPr>
        <sz val="10"/>
        <rFont val="Arial"/>
        <family val="2"/>
      </rPr>
      <t xml:space="preserve">Produtivo  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hp</t>
    </r>
    <r>
      <rPr>
        <b/>
        <vertAlign val="subscript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(R$/h)</t>
    </r>
  </si>
  <si>
    <r>
      <rPr>
        <sz val="10"/>
        <rFont val="Arial"/>
        <family val="2"/>
      </rPr>
      <t xml:space="preserve">Improdutivo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hi</t>
    </r>
    <r>
      <rPr>
        <sz val="10"/>
        <rFont val="Arial"/>
        <family val="2"/>
      </rPr>
      <t xml:space="preserve">      (R$/h)</t>
    </r>
  </si>
  <si>
    <t>D</t>
  </si>
  <si>
    <t>G</t>
  </si>
  <si>
    <r>
      <rPr>
        <b/>
        <i/>
        <sz val="10"/>
        <rFont val="Arial"/>
        <family val="2"/>
      </rPr>
      <t>Obs 01</t>
    </r>
    <r>
      <rPr>
        <i/>
        <sz val="10"/>
        <rFont val="Arial"/>
        <family val="2"/>
      </rPr>
      <t>: O índice decimal para impostos e seguro obrigatório de veículos varia de acordo com a região, sendo que o DNIT recomenda como valor médio o percentual de 2,50 %.</t>
    </r>
  </si>
  <si>
    <r>
      <rPr>
        <b/>
        <i/>
        <sz val="10"/>
        <rFont val="Arial"/>
        <family val="2"/>
      </rPr>
      <t>Obs 02</t>
    </r>
    <r>
      <rPr>
        <i/>
        <sz val="10"/>
        <rFont val="Arial"/>
        <family val="2"/>
      </rPr>
      <t>:</t>
    </r>
  </si>
  <si>
    <t>Nos valores de"Custos de Operação" adota-se um coeficiente de 0,18 l/kWh para cálculo do custo horário de combustível, lubrificantes, filtros e graxas, no grupo que envolve os equipamentos movidos a óleo diesel, conforme consta no item 6.3.1 do Manual de Custos de Infraestrutura de Transportes Volume 01/2017 - Metodologia e Conceitos do DNIT.</t>
  </si>
  <si>
    <t>PLANILHA DE CUSTOS DE TRANSPORTES</t>
  </si>
  <si>
    <t>Serviço</t>
  </si>
  <si>
    <t>Utilização</t>
  </si>
  <si>
    <t>Custo Horário Total (R$)</t>
  </si>
  <si>
    <t>Produção da Equipe       (t * km)</t>
  </si>
  <si>
    <t>Custo Unitário de Execução (R$)</t>
  </si>
  <si>
    <t>Interferência de Chuvas</t>
  </si>
  <si>
    <t>Custo Unitário Total       (R$)</t>
  </si>
  <si>
    <t>Custo Unitário Direto Total (R$)</t>
  </si>
  <si>
    <t>Tipo de Rodovia p/ Transporte</t>
  </si>
  <si>
    <t>Discriminação</t>
  </si>
  <si>
    <t>Veículo</t>
  </si>
  <si>
    <t>Quantidade</t>
  </si>
  <si>
    <t>Operativa</t>
  </si>
  <si>
    <t>Improdutiva</t>
  </si>
  <si>
    <r>
      <rPr>
        <sz val="10"/>
        <rFont val="Arial"/>
        <family val="2"/>
      </rPr>
      <t xml:space="preserve">Produtivo  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hp</t>
    </r>
    <r>
      <rPr>
        <b/>
        <vertAlign val="subscript"/>
        <sz val="10"/>
        <rFont val="Arial"/>
        <family val="2"/>
      </rPr>
      <t xml:space="preserve">   </t>
    </r>
    <r>
      <rPr>
        <sz val="10"/>
        <rFont val="Arial"/>
        <family val="2"/>
      </rPr>
      <t>(R$/h)</t>
    </r>
  </si>
  <si>
    <r>
      <rPr>
        <sz val="10"/>
        <rFont val="Arial"/>
        <family val="2"/>
      </rPr>
      <t xml:space="preserve">Improdutivo 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hi</t>
    </r>
    <r>
      <rPr>
        <sz val="10"/>
        <rFont val="Arial"/>
        <family val="2"/>
      </rPr>
      <t xml:space="preserve">   (R$/h)</t>
    </r>
  </si>
  <si>
    <t>Fator FIC</t>
  </si>
  <si>
    <t>Custo do FIC (R$)</t>
  </si>
  <si>
    <t>DNIT –</t>
  </si>
  <si>
    <t>Leito Nat.</t>
  </si>
  <si>
    <t>Caminhão carroceria 9 t</t>
  </si>
  <si>
    <t>Transporte com caminhão carroceria de 9 t - rodovia em leito natural</t>
  </si>
  <si>
    <t>Rev. Prim.</t>
  </si>
  <si>
    <t>Transporte com caminhão carroceria de 9 t - rodovia com revestimento primário</t>
  </si>
  <si>
    <t>Paviment.</t>
  </si>
  <si>
    <t>Transporte com caminhão carroceria de 9 t - rodovia pavimentada</t>
  </si>
  <si>
    <t>Caminhão tanque 10.000 l</t>
  </si>
  <si>
    <t>Transporte de água com caminhão tanque de 10.000 l - rodovia em leito natural</t>
  </si>
  <si>
    <t>Transporte de água com caminhão tanque de 10.000 l rodovia - com revestimento primário</t>
  </si>
  <si>
    <t>Transporte de água com caminhão tanque de 10.000 l - rodovia pavimentada</t>
  </si>
  <si>
    <t>Caminhão basculante 10m³</t>
  </si>
  <si>
    <t>Transporte com caminhão basculante de 10 m³ - rodovia em leito natural</t>
  </si>
  <si>
    <t>Transporte com caminhão basculante de 10 m³ - rodovia com revestimento primário</t>
  </si>
  <si>
    <t>Transporte com caminhão basculante de 10 m³ - rodovia pavimentada</t>
  </si>
  <si>
    <t>Cavalo mecânico 30 t</t>
  </si>
  <si>
    <t>Transporte com cavalo mecânico de 30 t - rodovia em leito natural</t>
  </si>
  <si>
    <t>Transporte com cavalo mecânico de 30 t - rodovia com revestimento primário</t>
  </si>
  <si>
    <t>Transporte com cavalo mecânico de 30 t - rodovia pavimentada</t>
  </si>
  <si>
    <t>Caminhão basculante 14m³</t>
  </si>
  <si>
    <t>Transporte com caminhão basculante de 14 m³ - rodovia em leito natural</t>
  </si>
  <si>
    <t>Transporte com caminhão basculante de 14 m³ - rodovia com revestimento primário</t>
  </si>
  <si>
    <t>Transporte com caminhão basculante de 14 m³ - rodovia pavimentada</t>
  </si>
  <si>
    <t>Veículo leve - pick up 4x4</t>
  </si>
  <si>
    <t>Transporte de materiais diversos em veículo leve - pick up 4 x 4 - rodovia em leito natural</t>
  </si>
  <si>
    <t>Transporte de materiais diversos em veículo leve - pick up 4 x 4 - rodovia em revestimento primário</t>
  </si>
  <si>
    <t>Transporte de materiais diversos em veículo leve - pick up 4 x 4 - rodovia pavimentada</t>
  </si>
  <si>
    <t>Caminhão com guindauto 20 t</t>
  </si>
  <si>
    <t>Transporte com caminhão carroceria de com guindauto capacidade 20 t.m - rodovia em leito natural</t>
  </si>
  <si>
    <t>Transporte com caminhão carroceria de com guindauto capacidade 20 t.m - rodovia com revestimento primário</t>
  </si>
  <si>
    <t>Transporte com caminhão carroceria de com guindauto capacidade 20 t.m - rodovia pavimentada</t>
  </si>
  <si>
    <t>Caminhão carroceria 5 t</t>
  </si>
  <si>
    <t>Transporte com caminhão carroceria de 5 t - rodovia em leito natural</t>
  </si>
  <si>
    <t>Transporte com caminhão carroceria de 5 t - rodovia com revestimento primário</t>
  </si>
  <si>
    <t>Transporte com caminhão carroceria de 5 t - rodovia pavimentada</t>
  </si>
  <si>
    <t>Caminhão carroceria 15 t</t>
  </si>
  <si>
    <t>Transporte com caminhão carroceria de 15 t - rodovia em leito natural</t>
  </si>
  <si>
    <t>Transporte com caminhão carroceria de 15 t - rodovia com revestimento primário</t>
  </si>
  <si>
    <t>Transporte com caminhão carroceria de 15 t - rodovia pavimentada</t>
  </si>
  <si>
    <t>Planilha de Composição do BDI - CONSTRUÇÃO DE RODOVIAS</t>
  </si>
  <si>
    <t>DESCRIÇÃO DAS PARCELAS</t>
  </si>
  <si>
    <t>INTERVALO DE ADMISSIBILIDADE</t>
  </si>
  <si>
    <t>GRUPO A:</t>
  </si>
  <si>
    <t>DESPESAS INDIRETAS</t>
  </si>
  <si>
    <t>1º Quartil</t>
  </si>
  <si>
    <t>Média</t>
  </si>
  <si>
    <t>3º Quartil</t>
  </si>
  <si>
    <t>VALORES PROPOSTOS %</t>
  </si>
  <si>
    <r>
      <rPr>
        <b/>
        <i/>
        <sz val="10"/>
        <rFont val="Arial"/>
        <family val="2"/>
      </rPr>
      <t xml:space="preserve">% sobre CD </t>
    </r>
    <r>
      <rPr>
        <b/>
        <i/>
        <vertAlign val="superscript"/>
        <sz val="11"/>
        <rFont val="Arial"/>
        <family val="2"/>
      </rPr>
      <t>2</t>
    </r>
  </si>
  <si>
    <t>AC</t>
  </si>
  <si>
    <t>Administração Central</t>
  </si>
  <si>
    <t>Variável ƒ (CD)</t>
  </si>
  <si>
    <t>DF</t>
  </si>
  <si>
    <t>Despesas Financeiras</t>
  </si>
  <si>
    <t>do CD</t>
  </si>
  <si>
    <t>S+G</t>
  </si>
  <si>
    <t>Seguros e Garantias Contratuais</t>
  </si>
  <si>
    <t>R</t>
  </si>
  <si>
    <t>Riscos</t>
  </si>
  <si>
    <t xml:space="preserve">Total Grupo A </t>
  </si>
  <si>
    <t>GRUPO B:</t>
  </si>
  <si>
    <t>BENEFÍCIOS</t>
  </si>
  <si>
    <t>L</t>
  </si>
  <si>
    <t>Lucro operacional</t>
  </si>
  <si>
    <t xml:space="preserve">Total Grupo B </t>
  </si>
  <si>
    <t>GRUPO C:</t>
  </si>
  <si>
    <t>TRIBUTOS INCIDENTES</t>
  </si>
  <si>
    <r>
      <rPr>
        <b/>
        <i/>
        <sz val="10"/>
        <rFont val="Arial"/>
        <family val="2"/>
      </rPr>
      <t xml:space="preserve">% sobre PV </t>
    </r>
    <r>
      <rPr>
        <b/>
        <i/>
        <vertAlign val="superscript"/>
        <sz val="11"/>
        <rFont val="Arial"/>
        <family val="2"/>
      </rPr>
      <t>1</t>
    </r>
  </si>
  <si>
    <t>PIS</t>
  </si>
  <si>
    <t>do PV</t>
  </si>
  <si>
    <t>Mínimo, médio e máximo - Acórdão 2369/2011 = 0,65%</t>
  </si>
  <si>
    <t>COFINS</t>
  </si>
  <si>
    <t>Mínimo, médio e máximo - Acórdão 2369/2011 = 3,0%</t>
  </si>
  <si>
    <t>ISSQN</t>
  </si>
  <si>
    <r>
      <rPr>
        <i/>
        <sz val="10"/>
        <rFont val="Arial"/>
        <family val="2"/>
      </rPr>
      <t xml:space="preserve">Alíquota </t>
    </r>
    <r>
      <rPr>
        <i/>
        <sz val="10"/>
        <rFont val="Calibri"/>
        <family val="2"/>
      </rPr>
      <t>≤</t>
    </r>
    <r>
      <rPr>
        <i/>
        <sz val="10"/>
        <rFont val="Arial"/>
        <family val="2"/>
      </rPr>
      <t xml:space="preserve"> 5,00% </t>
    </r>
    <r>
      <rPr>
        <b/>
        <i/>
        <vertAlign val="superscript"/>
        <sz val="11"/>
        <rFont val="Arial"/>
        <family val="2"/>
      </rPr>
      <t>3</t>
    </r>
  </si>
  <si>
    <t>Máximo - Acórdão 2369/2011 = 3,0%</t>
  </si>
  <si>
    <r>
      <rPr>
        <i/>
        <sz val="10"/>
        <rFont val="Arial"/>
        <family val="2"/>
      </rPr>
      <t>% do PV, até o limite de 50,00%, equivalente à prestação de serviços</t>
    </r>
    <r>
      <rPr>
        <b/>
        <i/>
        <vertAlign val="superscript"/>
        <sz val="11"/>
        <rFont val="Arial"/>
        <family val="2"/>
      </rPr>
      <t>4</t>
    </r>
  </si>
  <si>
    <t>CPRB (Contribuição Previdenciária sobre a Receita Bruta)</t>
  </si>
  <si>
    <t>Percentual fixo e obrigatório no caso da desoneração</t>
  </si>
  <si>
    <t xml:space="preserve">Total Grupo C </t>
  </si>
  <si>
    <t>VALORES DE BDI PARA OBRAS RODOVIÁRIAS</t>
  </si>
  <si>
    <t>Construção de Rodovias e Ferrovias - Infra Urbana, etc.</t>
  </si>
  <si>
    <t>Verificação do BDI máximo e mínimo:</t>
  </si>
  <si>
    <t>FÓRMULA BÁSICA: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</si>
  <si>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PV</t>
    </r>
    <r>
      <rPr>
        <sz val="10"/>
        <rFont val="Arial"/>
        <family val="2"/>
      </rPr>
      <t xml:space="preserve"> = Preço de Venda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</si>
  <si>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CD</t>
    </r>
    <r>
      <rPr>
        <sz val="10"/>
        <rFont val="Arial"/>
        <family val="2"/>
      </rPr>
      <t xml:space="preserve"> = Custo Direto</t>
    </r>
  </si>
  <si>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Alíquota do ISSQN - Alíquota máxima de 5%, variável em função da legislação de cada município, aplicada sobre o valor máximo de 50,0% do PV.</t>
    </r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</si>
  <si>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% PV equivalente à prestação de serviços</t>
    </r>
    <r>
      <rPr>
        <sz val="10"/>
        <rFont val="Arial"/>
        <family val="2"/>
      </rPr>
      <t xml:space="preserve"> = percentual do custo da mão de obra em relação ao custo total da obra.</t>
    </r>
  </si>
  <si>
    <t>Alíquota da CPRB de 4,5%, conforme a Lei 12.546/2011, alterada pela Lei 13.161/2015, com vigência a partir de 1º de dezembro de 2015.</t>
  </si>
  <si>
    <r>
      <rPr>
        <b/>
        <sz val="10"/>
        <rFont val="Arial"/>
        <family val="2"/>
      </rPr>
      <t>Obs:</t>
    </r>
    <r>
      <rPr>
        <sz val="10"/>
        <rFont val="Arial"/>
        <family val="2"/>
      </rPr>
      <t xml:space="preserve"> 1) </t>
    </r>
  </si>
  <si>
    <t>Composição do BDI conforme Acórdão Nº 2.622/2013 / TCU – Plenário, para obras tipo: Construção de Rodovias e Ferrovias.</t>
  </si>
  <si>
    <t xml:space="preserve">2) </t>
  </si>
  <si>
    <t>O percentual de ISSQN aqui utilizado consiste apenas em um referencial médio. O valor real do ISSQN a ser adotado nos orçamentos dos projetos aprovados pelo Incra deve ser aquele proveniente das alíquotas dos municípios situados na área de influência das obras.</t>
  </si>
  <si>
    <t>3)</t>
  </si>
  <si>
    <t>Em função das obras executadas no âmbito do Incra se enquadrarem em obras de baixa complexidade, para os percentuais de admissibilidade do Grupo A, recomenda-se utilizar os índices que constam no 1º Quartil.</t>
  </si>
  <si>
    <t>Descrição de gastos da administração central:</t>
  </si>
  <si>
    <t>DESPESAS A SEREM COBERTAS</t>
  </si>
  <si>
    <t>Pessoal</t>
  </si>
  <si>
    <t>Pró-labore dos sócios, salário dos diretores, gerentes, secretárias, técnicos, estagiários, motoristas, contínuos, etc.</t>
  </si>
  <si>
    <t>Instalações físicas</t>
  </si>
  <si>
    <t>Aluguel e manutenção dos imóveis, incluindo os impostos cabíveis (IPTU).</t>
  </si>
  <si>
    <t>Despesas correntes</t>
  </si>
  <si>
    <t>Água, luz, telefone, internet, correios, jornais e revistas, material de expediente e de limpeza, etc.</t>
  </si>
  <si>
    <t>Veículos e equipamentos</t>
  </si>
  <si>
    <t>Utilitários, fotocopiadores, ploteres, faxes, computadores, ar condicionados, etc.</t>
  </si>
  <si>
    <t>Serviços de terceiros</t>
  </si>
  <si>
    <t>Consultoria para estudos de obras, assessoria contábil e jurídica, publicidade, serviços gráficos, auditoria, treinamento de pessoal, etc.</t>
  </si>
  <si>
    <t>Diversos</t>
  </si>
  <si>
    <t>Anuidades (CREA, Sindicatos), aquisição de editais, seguros, viagens, brindes, etc.</t>
  </si>
  <si>
    <t>CÓDIGO</t>
  </si>
  <si>
    <t>1.1</t>
  </si>
  <si>
    <t xml:space="preserve">   OBRA:</t>
  </si>
  <si>
    <t>COMPOSIÇÃO  DE  PREÇOS  UNITÁRIOS   -    CUSTOS  UNITÁRIOS</t>
  </si>
  <si>
    <t xml:space="preserve"> Serviço:</t>
  </si>
  <si>
    <t>Mobilização e desmobilização de pessoal, máquinas e equipamentos</t>
  </si>
  <si>
    <t xml:space="preserve"> Unid.:</t>
  </si>
  <si>
    <t xml:space="preserve">un </t>
  </si>
  <si>
    <t>Tipo de Trecho</t>
  </si>
  <si>
    <t>Distância à Percorrer</t>
  </si>
  <si>
    <t>Velocidade Média</t>
  </si>
  <si>
    <t>Rodovia Pavimentada</t>
  </si>
  <si>
    <t>km/h</t>
  </si>
  <si>
    <t>Estrada em Revestimento Primário</t>
  </si>
  <si>
    <t>Estrada em Terreno Natural</t>
  </si>
  <si>
    <t xml:space="preserve"> A - Equipamentos</t>
  </si>
  <si>
    <t>Tipo de Transporte</t>
  </si>
  <si>
    <t>Fator de Retorno      (K) *</t>
  </si>
  <si>
    <t>Fator Utilização (FU) **</t>
  </si>
  <si>
    <t>Custo Horário R$</t>
  </si>
  <si>
    <t>Custo de Mobiliz. R$</t>
  </si>
  <si>
    <t>EQUIPAMENTOS DE GRANDE PORTE</t>
  </si>
  <si>
    <r>
      <rPr>
        <b/>
        <sz val="8"/>
        <rFont val="Arial"/>
        <family val="2"/>
        <charset val="1"/>
      </rPr>
      <t>TIPO DE TRANSPORTE (</t>
    </r>
    <r>
      <rPr>
        <b/>
        <i/>
        <sz val="8"/>
        <color indexed="10"/>
        <rFont val="Arial"/>
        <family val="2"/>
        <charset val="1"/>
      </rPr>
      <t>para preenchimento das colunas: H36 ao H45 e H49 ao H53</t>
    </r>
    <r>
      <rPr>
        <b/>
        <sz val="8"/>
        <rFont val="Arial"/>
        <family val="2"/>
        <charset val="1"/>
      </rPr>
      <t>)</t>
    </r>
  </si>
  <si>
    <t>-</t>
  </si>
  <si>
    <t>UTILIZAR APENAS OS TIPOS DE TRANSPORTES DE 2 AO 5</t>
  </si>
  <si>
    <t>CAMINHÕES COMUNS E VEÍCULOS LEVES (Equipamentos Rodantes)</t>
  </si>
  <si>
    <t>Autônomo</t>
  </si>
  <si>
    <t xml:space="preserve">Custo de Transporte dos Equipamentos </t>
  </si>
  <si>
    <t xml:space="preserve"> B - Mão de Obra</t>
  </si>
  <si>
    <t>Mão de Obra</t>
  </si>
  <si>
    <t>Custo</t>
  </si>
  <si>
    <t>Custo Total (R$)</t>
  </si>
  <si>
    <t>PROFISSIONAIS DE NÍVEL SUPERIOR</t>
  </si>
  <si>
    <t>TÉCNICOS ESPECIALIZADOS</t>
  </si>
  <si>
    <t>OPERADORES DE EQUIPAMENTOS E MOTORISTAS</t>
  </si>
  <si>
    <t>DEMAIS PROFISSIONAIS</t>
  </si>
  <si>
    <t xml:space="preserve">Custo do Transporte de Mão-de-Obra </t>
  </si>
  <si>
    <t>Custo Unitário Direto Total</t>
  </si>
  <si>
    <t>Lucro e despesas Indiretas :</t>
  </si>
  <si>
    <t>Preço Unitário Total</t>
  </si>
  <si>
    <t>Observações:</t>
  </si>
  <si>
    <t>01)</t>
  </si>
  <si>
    <t>Os cálculos seguem as orientações do DNIT/2017, segundo o Manual de Custos de Infraestrutura de Transportes - Volume 09 - Mobilização e Desmobilização.</t>
  </si>
  <si>
    <t>a) Deslocamento dos Equipamentos:</t>
  </si>
  <si>
    <t>1)</t>
  </si>
  <si>
    <r>
      <rPr>
        <sz val="11"/>
        <color indexed="8"/>
        <rFont val="Calibri"/>
        <family val="2"/>
        <charset val="1"/>
      </rPr>
      <t xml:space="preserve">Expressão de cálculo do custo da mobilização dos equipamentos: </t>
    </r>
    <r>
      <rPr>
        <b/>
        <sz val="10"/>
        <rFont val="Arial"/>
        <family val="2"/>
        <charset val="1"/>
      </rPr>
      <t>CMob = {[ DM</t>
    </r>
    <r>
      <rPr>
        <sz val="11"/>
        <color indexed="8"/>
        <rFont val="Calibri"/>
        <family val="2"/>
        <charset val="1"/>
      </rPr>
      <t xml:space="preserve"> *</t>
    </r>
    <r>
      <rPr>
        <b/>
        <sz val="10"/>
        <rFont val="Arial"/>
        <family val="2"/>
        <charset val="1"/>
      </rPr>
      <t xml:space="preserve"> K</t>
    </r>
    <r>
      <rPr>
        <sz val="11"/>
        <color indexed="8"/>
        <rFont val="Calibri"/>
        <family val="2"/>
        <charset val="1"/>
      </rPr>
      <t xml:space="preserve"> *</t>
    </r>
    <r>
      <rPr>
        <b/>
        <sz val="10"/>
        <rFont val="Arial"/>
        <family val="2"/>
        <charset val="1"/>
      </rPr>
      <t xml:space="preserve"> FU</t>
    </r>
    <r>
      <rPr>
        <sz val="11"/>
        <color indexed="8"/>
        <rFont val="Calibri"/>
        <family val="2"/>
        <charset val="1"/>
      </rPr>
      <t xml:space="preserve"> </t>
    </r>
    <r>
      <rPr>
        <b/>
        <sz val="10"/>
        <rFont val="Arial"/>
        <family val="2"/>
        <charset val="1"/>
      </rPr>
      <t>] / V</t>
    </r>
    <r>
      <rPr>
        <sz val="11"/>
        <color indexed="8"/>
        <rFont val="Calibri"/>
        <family val="2"/>
        <charset val="1"/>
      </rPr>
      <t xml:space="preserve"> </t>
    </r>
    <r>
      <rPr>
        <b/>
        <sz val="10"/>
        <rFont val="Arial"/>
        <family val="2"/>
        <charset val="1"/>
      </rPr>
      <t>} * CH</t>
    </r>
    <r>
      <rPr>
        <sz val="11"/>
        <color indexed="8"/>
        <rFont val="Calibri"/>
        <family val="2"/>
        <charset val="1"/>
      </rPr>
      <t>, onde: CMob é o custo de mobilização e desmobilização, DM é a distância de mobilização, K é o fator de retorno, FU é o fator de utilização, V é a velocidade média em cada trecho e CH é o custo horário de cada equipamento.</t>
    </r>
  </si>
  <si>
    <t>2)</t>
  </si>
  <si>
    <t>A distância de mobilização a ser considerada deve ser a da unidade da federação mais próxima, em condições de fornecer a mão de obra e os equipamentos para atender as atividades a serem desenvolvidas, até o local da obra. A distância mínima de mobilização e de desmobilização será de 50 km;</t>
  </si>
  <si>
    <t>O deslocamento dos equipamentos poderá ser realizado por rodovias pavimentadas e estradas em revestimento primário ou em terreno natural, utilizando, sempre que possível e viável, os caminhões como primeira alternativa de transporte ou o cavalo mecânico com reboque como segunda alternativa;</t>
  </si>
  <si>
    <t>4)</t>
  </si>
  <si>
    <r>
      <rPr>
        <b/>
        <sz val="10"/>
        <rFont val="Arial"/>
        <family val="2"/>
        <charset val="1"/>
      </rPr>
      <t>*</t>
    </r>
    <r>
      <rPr>
        <sz val="11"/>
        <color indexed="8"/>
        <rFont val="Calibri"/>
        <family val="2"/>
        <charset val="1"/>
      </rPr>
      <t xml:space="preserve"> O Fator de Retorno (K) será igual a 1 quando o veículo não retornar e 2 quando o veículo transportador retornar ao local de origem;</t>
    </r>
  </si>
  <si>
    <t>5)</t>
  </si>
  <si>
    <t>** O Fator de Utilização (FU) de cada equipamento estão conforme a Tabela 02 do manual a que se faz referência na observação 01;</t>
  </si>
  <si>
    <t>6)</t>
  </si>
  <si>
    <t>As ferramentas e os equipamentos leves ou de pequeno porte, cujo peso individual e formato permitem que sejam transportados, embarcados ou rebocados, serão transportados em veículos transportadores autônomos da frota mobilizada (que podem se deslocar pelos próprios meios);</t>
  </si>
  <si>
    <t>b) Deslocamento de Pessoal:</t>
  </si>
  <si>
    <t>O efetivo de mão de obra alojado será estabelecido em função da natureza dos serviços e da disponibilidade local de mão de obra. No caso de impossibilidade de comprovação, deve ser adotado o percentual de 50% do efetivo para a condição alojada, em obras rodoviárias;</t>
  </si>
  <si>
    <t>Nos deslocamentos, a cada quatro horas de percurso, será considerada meia hora adicional de descanso remunerado para motoristas e ajudantes.</t>
  </si>
  <si>
    <t>Instalações de campo e alojamento.</t>
  </si>
  <si>
    <t>mês</t>
  </si>
  <si>
    <t>Custo Operacional</t>
  </si>
  <si>
    <t xml:space="preserve">Custo </t>
  </si>
  <si>
    <t>Operat.</t>
  </si>
  <si>
    <t>Improd.</t>
  </si>
  <si>
    <t>Horário</t>
  </si>
  <si>
    <t>Custo Horário de Equipamentos</t>
  </si>
  <si>
    <t>Salário / Hora</t>
  </si>
  <si>
    <t>Custo Horário de Mão-de-Obra</t>
  </si>
  <si>
    <t xml:space="preserve">Custo Horário Total de Execução </t>
  </si>
  <si>
    <t xml:space="preserve"> C - Produção da Equipe</t>
  </si>
  <si>
    <t xml:space="preserve">Custo Unitário de Execução </t>
  </si>
  <si>
    <t>Fator de Influência de Chuvas - FIC</t>
  </si>
  <si>
    <t xml:space="preserve">Custo do FIC </t>
  </si>
  <si>
    <t>Fator de Interferência do Tráfego - FIT</t>
  </si>
  <si>
    <t xml:space="preserve">Custo do FIT </t>
  </si>
  <si>
    <t xml:space="preserve"> D - Custo Unitário de Execução</t>
  </si>
  <si>
    <t>Custo Unitário de Execução</t>
  </si>
  <si>
    <t xml:space="preserve"> E - Materiais e Atividades Auxiliares</t>
  </si>
  <si>
    <t>Preço</t>
  </si>
  <si>
    <t>Unitário</t>
  </si>
  <si>
    <t>Custo Total de Materiais</t>
  </si>
  <si>
    <t xml:space="preserve"> F - Transportes de Materiais</t>
  </si>
  <si>
    <t>Quantidade ( t )</t>
  </si>
  <si>
    <t>Rodovia para transporte</t>
  </si>
  <si>
    <t>Custo Unitário</t>
  </si>
  <si>
    <t>DMT (km)</t>
  </si>
  <si>
    <t>Cód. Transp</t>
  </si>
  <si>
    <t>Custo Unit.</t>
  </si>
  <si>
    <t>Custo Total de Transportes de Materiais</t>
  </si>
  <si>
    <t>Custo Unitário Direto Total (mensal)</t>
  </si>
  <si>
    <t xml:space="preserve">Preço Unitário Total (mensal) </t>
  </si>
  <si>
    <t>Na elaboração da presente composição foram adotados os custos e taxas constantes na Tabela de Preços de Consultoria do DNIT.</t>
  </si>
  <si>
    <t>Placa de obra em chapa de aço galvanizado, no tamanho de (2,00 m x 3,20 m)</t>
  </si>
  <si>
    <t>m²</t>
  </si>
  <si>
    <t>Caminhão Carroceria 15 t</t>
  </si>
  <si>
    <t>1) Na elaboração da presente composição adotaram-se como base os índices da composição analítica do SINAPI - CÓDIGO 74209/001;</t>
  </si>
  <si>
    <t>2) Para os insumos foram adotados os preços unitários dos insumos da tabela DNIT/SICRO.</t>
  </si>
  <si>
    <t>2.1</t>
  </si>
  <si>
    <t>Elaboração de estudos ambientais simplificados para complementação das estradas vicinais e uso de jazidas de materiais lateríticos e do Plano de Recuperação de Área Degradada - PRAD, objetivando a exploração de jazidas e sua posterior recuperação ambiental, elaborados por profissionais devidamente habilitados, com ART e apresentação do licenciamento ambiental necessário, expedido pelo órgão competente (Verificar a recomendação na observação e os índices das taxas dessa composição)</t>
  </si>
  <si>
    <t>10% ( Item B )</t>
  </si>
  <si>
    <t>Instrumental de equipamentos de informática e material de expediente (Microcomputador / Plotter / Câmera fotográfica digital / Papel)</t>
  </si>
  <si>
    <t>Salário /Mês</t>
  </si>
  <si>
    <t>(01 - Eng° Florestal ou Agrônomo - Resp. Técnico)</t>
  </si>
  <si>
    <t>(01 - Coordenador Ambiental)</t>
  </si>
  <si>
    <t>(01 - Geólogo)</t>
  </si>
  <si>
    <t>(01 - Topógrafo)</t>
  </si>
  <si>
    <t>(01 - Cadista)</t>
  </si>
  <si>
    <t xml:space="preserve"> F - Taxas </t>
  </si>
  <si>
    <t>Índice</t>
  </si>
  <si>
    <t>Observações</t>
  </si>
  <si>
    <t>Base de</t>
  </si>
  <si>
    <t>Taxa</t>
  </si>
  <si>
    <t>Cálculo</t>
  </si>
  <si>
    <t>AA1 - ENCARGOS SOCIAIS (MENSALISTA)</t>
  </si>
  <si>
    <t>(Incide sobre o item pessoal)</t>
  </si>
  <si>
    <t>AA2 - ENCARGOS SOCIAIS (CONSULTOR ESPECIAL - PJ)</t>
  </si>
  <si>
    <t>BB - CUSTO ADMINISTRATIVO</t>
  </si>
  <si>
    <t>CC - REMUNERAÇÃO DA EMPRESA</t>
  </si>
  <si>
    <t>(Incide s/ todos os itens + AA+BB)</t>
  </si>
  <si>
    <t>DD - DESPESAS FISCAIS/PIS/ISS/COFINS (SEM CSLL)</t>
  </si>
  <si>
    <t>(Incide s/ todos itens + AA+BB+CC)</t>
  </si>
  <si>
    <t>Valor total das taxas</t>
  </si>
  <si>
    <t>Preço Unitário Direto Total</t>
  </si>
  <si>
    <t>Fator de Conversão</t>
  </si>
  <si>
    <r>
      <rPr>
        <b/>
        <sz val="8"/>
        <rFont val="Arial"/>
        <family val="2"/>
        <charset val="1"/>
      </rPr>
      <t xml:space="preserve">Recomenda-se a aplicação de coeficientes de redução do preço unitário por quilômetro, com o </t>
    </r>
    <r>
      <rPr>
        <b/>
        <u/>
        <sz val="8"/>
        <rFont val="Arial"/>
        <family val="2"/>
        <charset val="1"/>
      </rPr>
      <t>preenchimento</t>
    </r>
    <r>
      <rPr>
        <b/>
        <sz val="8"/>
        <rFont val="Arial"/>
        <family val="2"/>
        <charset val="1"/>
      </rPr>
      <t xml:space="preserve"> da célula "Fator de Conversão", indicando o percentual que será aplicado à soma total da composição, de acordo com as faixas discriminadas a seguir: 0,00 a 10,00 km (100 %), 10,00 a 25,00 km (80 %), 25,00 a 50,00 km (60 %) e acima de 50,00 km (40 %)</t>
    </r>
  </si>
  <si>
    <t>Na elaboração da presente composição, os índices adotados foram com base na experiência acumulada pelos técnico do Incra na execução de serviços correlatos ao longo dos anos;</t>
  </si>
  <si>
    <t>Para os insumos foram adotados os preços unitários dos insumos da tabela DNIT/Preço de Consultoria.</t>
  </si>
  <si>
    <t>Os valores referenciais para veículos envolvem aluguel e combustível.</t>
  </si>
  <si>
    <t>3.1</t>
  </si>
  <si>
    <t>Administração Local</t>
  </si>
  <si>
    <t>Salário / Mês</t>
  </si>
  <si>
    <t xml:space="preserve">Preço Unitário Total (R$/mês x prazo da obra) </t>
  </si>
  <si>
    <t>4.1</t>
  </si>
  <si>
    <t>Desmatamento e limpeza mecanizada de terreno com remoção de camada vegetal, utilizando trator esteiras</t>
  </si>
  <si>
    <t>1) Na elaboração da presente composição foi adotada como base a metodologia do SINAPI / CÓDIGO - 73859/001 - Data base: 02/2018, com adaptações à nova metodologia adotada pelo DNIT.</t>
  </si>
  <si>
    <t>4.2</t>
  </si>
  <si>
    <t>Desmatamento,  destocamento e limpeza em áreas com árvores de diâmetro até 0,15 m</t>
  </si>
  <si>
    <t>1) Na elaboração da presente composição foi adotada como base a metodologia da Agência Goiana de Transportes e Obras (AGETOP) / CÓDIGO - 40001 - Data base: 01/04/2017, com adaptações à nova metodologia adotada pelo DNIT.</t>
  </si>
  <si>
    <t>5.1</t>
  </si>
  <si>
    <t>Escavação, carga e transporte de material  de 1ª categoria (DMT ≤ 50 m), inclusive seção padrão</t>
  </si>
  <si>
    <t>m³</t>
  </si>
  <si>
    <t>(=286,85 * 0,60)</t>
  </si>
  <si>
    <t>1) Na elaboração da presente composição fez-se a intercalação entre as metodologias do DNIT/SICRO (Sistema de Custos Rodoviários - Custo Unitário de Referência) / CÓDIGO - 5501710, com adaptações</t>
  </si>
  <si>
    <t>3) Em vista do porte das obras executadas pelo Incra e como forma de melhor adequação aos equipamentos utilizados, optou-se pela substituição do trator esteiras D8 pelo D6, com a correlação entre suas potências (112/259 = 0,4324), capacidades de lâminas (4,28/8,70 = 0,4920) e velocidades de deslocamentos (1,5 D6 / 1 D8), considerando-se o coeficiente médio de 0,60 D8 = D6</t>
  </si>
  <si>
    <t>5.2</t>
  </si>
  <si>
    <t>Escavação, carga e transporte de material de 1ª categoria - DMT de 50 a 200 m - caminho de serviço em leito natural - com escavadeira e caminhão basculante de 14 m³</t>
  </si>
  <si>
    <t>1) Na elaboração da presente composição foi adotada como base a metodologia do DNIT/SICRO (Sistema de Custos Rodoviários - Custo Unitário de Referência) / CÓDIGO - 5502109.</t>
  </si>
  <si>
    <t>Compactação de aterros a 95 % do proctor normal (inclusos o espalhamento e a conformação da plataforma)</t>
  </si>
  <si>
    <t>1) Na elaboração da presente composição foi adotada como base a metodologia da Agência Goiana de Transportes e Obras (AGETOP) / CÓDIGO - 45180, com adaptações à nova metodologia adotada pelo DNIT.</t>
  </si>
  <si>
    <t>Reconformação da plataforma</t>
  </si>
  <si>
    <t xml:space="preserve">ha </t>
  </si>
  <si>
    <t>1) Na elaboração da presente composição foi adotada como base a metodologia do DNIT/SICRO (Sistema de Custos Rodoviários - Custo Unitário de Referência) / CÓDIGO - 4915598.</t>
  </si>
  <si>
    <t>Valetas e saídas laterais d´agua (bigodes - executadas com motoniveladora)</t>
  </si>
  <si>
    <t xml:space="preserve">      </t>
  </si>
  <si>
    <t>1) Na elaboração da presente composição foi adotado como base os índices da composição analítica do SINAPI - CÓDIGO 74150/001; Localidade: Cuiabá, com adaptações para a nova metodologia do DNIT.</t>
  </si>
  <si>
    <t>Expurgo de jazida - Limpeza e decapeamento</t>
  </si>
  <si>
    <t>1) Na elaboração da presente composição foi adotada como base a metodologia do DNIT/SICRO (Sistema de Custos Rodoviários - Custo Unitário de Referência) / CÓDIGO - 5502986.</t>
  </si>
  <si>
    <t>Caixas de retenção nas laterais da estrada para acúmulo de águas pluviais  (bacias de acumulação - micro bacias)</t>
  </si>
  <si>
    <t>1) Na elaboração da presente composição foi adotada como base a metodologia do DNIT/SICRO (Sistema de Custos Rodoviários - Custo Unitário de Referência) / CÓDIGO - 4805757.</t>
  </si>
  <si>
    <t>2) Para os insumos foram adotados os preços unitários dos insumos da tabela  DNIT/SICRO.</t>
  </si>
  <si>
    <t>Lombadas em aterro compactado para redução de velocidade das águas pluviais</t>
  </si>
  <si>
    <t>1) Na elaboração da presente composição foi adotada como base a metodologia da Agência Goiana de Transportes e Obras (AGETOP) / CÓDIGO - 45180 - Data base: 01/04/2017, e DNIT CÓDIGO - 5501710, com adaptações à nova metodologia adotada pelo DNIT.</t>
  </si>
  <si>
    <t>Corpo de bueiro BSTC ø = 0,60 m, PA-1, com berço em concreto ciclópico</t>
  </si>
  <si>
    <t>Caminhão com guindalto 30 t.m.</t>
  </si>
  <si>
    <t>1) Na elaboração da presente composição foi adotada como base a metodologia do DNIT/SICRO (Sistema de Custos Rodoviários - Custo Unitário de Referência) / CÓDIGO - 0804021, com adaptações.</t>
  </si>
  <si>
    <t>2) Para os insumos foram adotados os preços unitários dos insumos da tabela DNIT/SICRO e as referidas composições do INCRA apresentadas.</t>
  </si>
  <si>
    <t>Corpo de bueiro BSTC ø = 1,00 m, PA-1, com berço em concreto ciclópico</t>
  </si>
  <si>
    <t>1) Na elaboração da presente composição foi adotada como base a metodologia do DNIT/SICRO (Sistema de Custos Rodoviários - Custo Unitário de Referência) / CÓDIGO - 0804037, com adaptações.</t>
  </si>
  <si>
    <t>Corpo de bueiro BDTC ø = 0,60 m, PA-1, com berço em concreto ciclópico</t>
  </si>
  <si>
    <t>Corpo de bueiro BDTC ø = 1,00 m, PA-1, com berço em concreto ciclópico</t>
  </si>
  <si>
    <t>1) Na elaboração da presente composição foi adotada como base a metodologia do DNIT/SICRO (Sistema de Custos Rodoviários - Custo Unitário de Referência) / CÓDIGO - 0804189, com adaptações.</t>
  </si>
  <si>
    <t>Boca de BSTC ø = 0,60 m, em concreto ciclópico, alas retas - esconsidade 0°</t>
  </si>
  <si>
    <t>1) Na elaboração da presente composição foi adotada como base a metodologia do DNIT/SICRO (Sistema de Custos Rodoviários - Custo Unitário de Referência) / CÓDIGO - 0804081, com adaptações.</t>
  </si>
  <si>
    <t>Boca de BSTC ø = 1,00 m, em concreto ciclópico, alas retas - esconsidade 0°</t>
  </si>
  <si>
    <t>1) Na elaboração da presente composição foi adotada como base a metodologia do DNIT/SICRO (Sistema de Custos Rodoviários - Custo Unitário de Referência) / CÓDIGO - 0804120, com adaptações.</t>
  </si>
  <si>
    <t>Boca de BDTC ø = 0,60 m, em concreto ciclópico, alas retas - esconsidade 0°</t>
  </si>
  <si>
    <t>Boca de BDTC ø = 1,00 m, em concreto ciclópico, alas retas - esconsidade 0°</t>
  </si>
  <si>
    <t>1) Na elaboração da presente composição foi adotada como base a metodologia do DNIT/SICRO (Sistema de Custos Rodoviários - Custo Unitário de Referência) / CÓDIGO - 0804233, com adaptações.</t>
  </si>
  <si>
    <t>MEMÓRIA DE CÁLCULO</t>
  </si>
  <si>
    <t>VOLUME DE MADEIRA PARA PONTE (Vão = 6,00m)</t>
  </si>
  <si>
    <t>Infraestrutura</t>
  </si>
  <si>
    <t>FUNDAÇÃO</t>
  </si>
  <si>
    <t xml:space="preserve">Nº de Linhas = </t>
  </si>
  <si>
    <t>Descrição</t>
  </si>
  <si>
    <t>Quantid.</t>
  </si>
  <si>
    <t>Altura (m)</t>
  </si>
  <si>
    <t>Linha 00</t>
  </si>
  <si>
    <t>Linha 11</t>
  </si>
  <si>
    <t>Linha 01</t>
  </si>
  <si>
    <t>Linha 12</t>
  </si>
  <si>
    <t>Linha 02</t>
  </si>
  <si>
    <t>Linha 13</t>
  </si>
  <si>
    <t>Linha 03</t>
  </si>
  <si>
    <t>Linha 14</t>
  </si>
  <si>
    <t>Linha 04</t>
  </si>
  <si>
    <t>Linha 15</t>
  </si>
  <si>
    <t>Linha 05</t>
  </si>
  <si>
    <t>Linha 16</t>
  </si>
  <si>
    <t>Linha 06</t>
  </si>
  <si>
    <t>Linha 17</t>
  </si>
  <si>
    <t>Linha 07</t>
  </si>
  <si>
    <t>Linha 18</t>
  </si>
  <si>
    <t>Linha 08</t>
  </si>
  <si>
    <t>Linha 19</t>
  </si>
  <si>
    <t>Linha 09</t>
  </si>
  <si>
    <t>Linha 20</t>
  </si>
  <si>
    <t>Linha 10</t>
  </si>
  <si>
    <t>Linha 21</t>
  </si>
  <si>
    <t>Compr.Méd</t>
  </si>
  <si>
    <t>Largura</t>
  </si>
  <si>
    <t>Espessura</t>
  </si>
  <si>
    <t>Volume</t>
  </si>
  <si>
    <t>Estaca (viga 0,30x0,30)</t>
  </si>
  <si>
    <t>Travamento linha d'água (viga 0,20x0,30)</t>
  </si>
  <si>
    <t>Parcial 1</t>
  </si>
  <si>
    <t>Mesoestrutura</t>
  </si>
  <si>
    <t>PILARES</t>
  </si>
  <si>
    <t>Compr.</t>
  </si>
  <si>
    <t>Pilares (viga 0,30x0,30)</t>
  </si>
  <si>
    <t>Travamento central (viga 0,20x0,30)</t>
  </si>
  <si>
    <t>Travamento inclinado (viga 0,15x0,25)</t>
  </si>
  <si>
    <t>Transversina (viga 0,25x0,30)</t>
  </si>
  <si>
    <t>Parcial 2</t>
  </si>
  <si>
    <t>Superestrutura</t>
  </si>
  <si>
    <t>Balancin (viga 0,25x0,30)</t>
  </si>
  <si>
    <t>Longarina (viga 0,25x0,30)</t>
  </si>
  <si>
    <t>Tabuleiro (pranchão 0,10x0,20)</t>
  </si>
  <si>
    <t>Defensa (viga 0,25x0,30)</t>
  </si>
  <si>
    <t>Proteção do rodeiro (0,20x0,15)</t>
  </si>
  <si>
    <t>Rodeiro (pranchão 0,10x0,30)</t>
  </si>
  <si>
    <t>Reforço guarda-rodas (pranchão 0,10x0,20)</t>
  </si>
  <si>
    <t>Reforço do rodeiro  (pranchão 0,10x0,20)</t>
  </si>
  <si>
    <t>Guarda-corpo GC - Pilar-01 (pranchão 0,10x0,15)</t>
  </si>
  <si>
    <t>Guarda-corpo GC - Pilar-02 (pranchão 0,10x0,15)</t>
  </si>
  <si>
    <t>Proteção intermediária do Guarda-corpo (0,07x0,10)</t>
  </si>
  <si>
    <t>Corrimão do Guarda-corpo (0,10x0,20)</t>
  </si>
  <si>
    <t>Parcial 3</t>
  </si>
  <si>
    <t>Total de Madeira no vão = 6,00 m</t>
  </si>
  <si>
    <t>Vão</t>
  </si>
  <si>
    <t>Volume =</t>
  </si>
  <si>
    <t>Nº de Vãos</t>
  </si>
  <si>
    <t>Vol. p/ Vão</t>
  </si>
  <si>
    <t>Vol. Total</t>
  </si>
  <si>
    <t>Compr. (m)</t>
  </si>
  <si>
    <t>Volume / metro linear</t>
  </si>
  <si>
    <t>m³/m</t>
  </si>
  <si>
    <r>
      <rPr>
        <b/>
        <sz val="11"/>
        <rFont val="Arial"/>
        <family val="2"/>
      </rPr>
      <t xml:space="preserve">VOLUME DE MADEIRA PARA EXECUÇÃO DE </t>
    </r>
    <r>
      <rPr>
        <b/>
        <u/>
        <sz val="11"/>
        <color indexed="10"/>
        <rFont val="Arial"/>
        <family val="2"/>
      </rPr>
      <t>UMA</t>
    </r>
    <r>
      <rPr>
        <b/>
        <sz val="11"/>
        <rFont val="Arial"/>
        <family val="2"/>
      </rPr>
      <t xml:space="preserve"> CONTENÇÃO DE ATERRO NA PONTE</t>
    </r>
  </si>
  <si>
    <t>Quantidade (un)</t>
  </si>
  <si>
    <t>Cravado no solo (m)</t>
  </si>
  <si>
    <t>Largura (m)</t>
  </si>
  <si>
    <t>Espessura (m)</t>
  </si>
  <si>
    <t>PRANCHAS DE CONTENÇÃO</t>
  </si>
  <si>
    <t>Alturas</t>
  </si>
  <si>
    <t>Área</t>
  </si>
  <si>
    <t>H-01</t>
  </si>
  <si>
    <t>(m²)</t>
  </si>
  <si>
    <t>(m³)</t>
  </si>
  <si>
    <t>Resumo de Madeira nas Alas</t>
  </si>
  <si>
    <t>Altura H-01</t>
  </si>
  <si>
    <t>Alas de Contenção</t>
  </si>
  <si>
    <t xml:space="preserve">Quantidade (un) = </t>
  </si>
  <si>
    <t>Contenção na Ponte</t>
  </si>
  <si>
    <t>Altura H-02</t>
  </si>
  <si>
    <t>CONTENÇÃO ALA</t>
  </si>
  <si>
    <t xml:space="preserve">L = </t>
  </si>
  <si>
    <t>H-01 - PA-03</t>
  </si>
  <si>
    <t>PA-02</t>
  </si>
  <si>
    <t>PA-01</t>
  </si>
  <si>
    <t>Linha 00 - PP-01 a PP-04</t>
  </si>
  <si>
    <t>PA = Pilar da Ala</t>
  </si>
  <si>
    <t>PP = Pilar da Ponte na Ala</t>
  </si>
  <si>
    <t>CONTENÇÃO PONTE</t>
  </si>
  <si>
    <t>Linha 00 - PP-01</t>
  </si>
  <si>
    <t>Linha 00 - PP-02</t>
  </si>
  <si>
    <t>Linha 00 - PP-03</t>
  </si>
  <si>
    <t>Linha 00 - PP-04</t>
  </si>
  <si>
    <t>7.1</t>
  </si>
  <si>
    <t>Ponte em madeira de lei LEGALIZADA (peças aparelhadas), com vigamento simples e fundação em estacas cravadas, com largura mínima de 5,00 m (exceto alas para contenção de aterro) - Dados da ponte devem ser informados na planilha Quant. Ponte Madeira</t>
  </si>
  <si>
    <t>(inclusive ferragens)</t>
  </si>
  <si>
    <t>Caminhão Carroceria 9 t</t>
  </si>
  <si>
    <t>7.2</t>
  </si>
  <si>
    <t>Ala de contenção de aterro para ponte em madeira de lei LEGALIZADA (peças aparelhadas), fundação em estacas cravadas, com largura mínima de 5,00 m  - Dados das alas devem ser informados na planilha Quant. Ponte Madeira</t>
  </si>
  <si>
    <t>1) Na elaboração da presente composição, os índices adotados foram com base na experiência acumulada pelos técnico do INCRA na execução de serviços correlatos ao longo dos anos;</t>
  </si>
  <si>
    <t>2) Para os insumos foram adotados os preços unitários dos insumos da tabela DNIT/SICRO e para os itens não existentes na referida tabela, de maneira suplementar os custos unitários dos insumos do SINAPI e a referida composição INCRA apresentada.</t>
  </si>
  <si>
    <t>8.1</t>
  </si>
  <si>
    <t>Escavação e carga de material de jazida com escavadeira hidráulica</t>
  </si>
  <si>
    <t>1) Na elaboração da presente composição foi adotada como base a metodologia do DNIT/SICRO (Sistema de Custos Rodoviários - Custo Unitário de Referência) / CÓDIGO - 4816096.</t>
  </si>
  <si>
    <t>8.2</t>
  </si>
  <si>
    <t>t x km</t>
  </si>
  <si>
    <t>1) Na elaboração da presente composição foi adotada como base a metodologia do DNIT/SICRO (Sistema de Custos Rodoviários - Custo Unitário de Referência) / CÓDIGO - 5914359.</t>
  </si>
  <si>
    <t>Compactação de material de revestimento a 95 % do proctor normal (inclusos o espalhamento e a conformação da plataforma)</t>
  </si>
  <si>
    <t>1) Na elaboração da presente composição foi adotada como base a metodologia da Agência Goiana de Transportes e Obras (AGETOP) / CÓDIGO - 40100, com adaptações à nova metodologia adotada pelo DNIT.</t>
  </si>
  <si>
    <t>9.1</t>
  </si>
  <si>
    <t>Prenchimento da jazida com material orgânico proveniente do seu decapeamento</t>
  </si>
  <si>
    <t>1) Na elaboração da presente composição fez-se a intercalação entre as metodologias do DNIT/SICRO (Sistema de Custos Rodoviários - Custo Unitário de Referência) / CÓDIGO - 4915613, com adaptações.</t>
  </si>
  <si>
    <t>9.2</t>
  </si>
  <si>
    <t>Semeadura manual (pó calcário, adubos NPK, orgânico, potássio, fósforo enxofre e sementes)</t>
  </si>
  <si>
    <t>Caminhão Carroceria 4 t</t>
  </si>
  <si>
    <t>1) Na elaboração da presente composição foi adotada como base a metodologia do DNIT/SICRO (Sistema de Custos Rodoviários - Custo Unitário de Referência) / CÓDIGO - 4413905, com adaptações para o processo manual.</t>
  </si>
  <si>
    <t>EMPRESA:</t>
  </si>
  <si>
    <t>J J BORGES DE OLIVEIRA EIRELI</t>
  </si>
  <si>
    <t>CNPJ:</t>
  </si>
  <si>
    <t>20.129.307/0001-02</t>
  </si>
  <si>
    <t>Modalidade:</t>
  </si>
  <si>
    <t>OBJETO:</t>
  </si>
  <si>
    <t>MUNICÍPIO:</t>
  </si>
  <si>
    <t xml:space="preserve">BDI (%): </t>
  </si>
  <si>
    <t>ENDEREÇO OBRA:</t>
  </si>
  <si>
    <t>PROCESSO LICITATÓRIO:</t>
  </si>
  <si>
    <t>MODALIDADE:</t>
  </si>
  <si>
    <t>Nª 2/2021-003</t>
  </si>
  <si>
    <t>TOMADA DE PREÇOS</t>
  </si>
  <si>
    <t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t>
  </si>
  <si>
    <t>PREFEITURA MINUCIPAL DE AURORA DO PARÁ</t>
  </si>
  <si>
    <t xml:space="preserve"> PA MANOEL CRESCÊNCIO DE SOUZA</t>
  </si>
  <si>
    <t>PLANILHA ORÇAMENTÁRIA</t>
  </si>
  <si>
    <t>ENCARGOS SOCIAIS SOBRE A MÃO DE OBRA</t>
  </si>
  <si>
    <t>DESCRIÇÃO</t>
  </si>
  <si>
    <t>COM DESONERAÇÃO</t>
  </si>
  <si>
    <t>SEM DESONERAÇÃO</t>
  </si>
  <si>
    <t>HORISTA
(%)</t>
  </si>
  <si>
    <t>MENSALISTA
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</si>
  <si>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</si>
  <si>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</si>
  <si>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</si>
  <si>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</si>
  <si>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</si>
  <si>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</si>
  <si>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</si>
  <si>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</si>
  <si>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</si>
  <si>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</si>
  <si>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</si>
  <si>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</si>
  <si>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</si>
  <si>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</si>
  <si>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</si>
  <si>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</si>
  <si>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</si>
  <si>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</si>
  <si>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</si>
  <si>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</si>
  <si>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</si>
  <si>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</si>
  <si>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</si>
  <si>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</si>
  <si>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</si>
  <si>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</si>
  <si>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</si>
  <si>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</si>
  <si>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</si>
  <si>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</si>
  <si>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</si>
  <si>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</si>
  <si>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</si>
  <si>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</si>
  <si>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</si>
  <si>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</si>
  <si>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</si>
  <si>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</si>
  <si>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</si>
  <si>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</si>
  <si>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</si>
  <si>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</si>
  <si>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</si>
  <si>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</si>
  <si>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</si>
  <si>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</si>
  <si>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</si>
  <si>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</si>
  <si>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</si>
  <si>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</si>
  <si>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</si>
  <si>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</si>
  <si>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</si>
  <si>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</si>
  <si>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</si>
  <si>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</si>
  <si>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</si>
  <si>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</si>
  <si>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</si>
  <si>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</si>
  <si>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TOTAL (A+B+C+D)</t>
  </si>
  <si>
    <t xml:space="preserve">Processo licitatório: Nª 2/2021-003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</si>
</sst>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(&quot;R$ &quot;* #,##0.00_);_(&quot;R$ &quot;* \(#,##0.00\);_(&quot;R$ &quot;* \-??_);_(@_)"/>
    <numFmt numFmtId="165" formatCode="_(* #,##0.00_);_(* \(#,##0.00\);_(* \-??_);_(@_)"/>
    <numFmt numFmtId="166" formatCode="&quot;R$ &quot;#,##0;[Red]&quot;-R$ &quot;#,##0"/>
    <numFmt numFmtId="167" formatCode="#,##0.000"/>
    <numFmt numFmtId="168" formatCode="dd/mm/yy;@"/>
    <numFmt numFmtId="169" formatCode="_-* #,##0.00_-;\-* #,##0.00_-;_-* \-??_-;_-@_-"/>
    <numFmt numFmtId="170" formatCode="000"/>
    <numFmt numFmtId="171" formatCode="000.00"/>
    <numFmt numFmtId="172" formatCode="00&quot; + &quot;000"/>
    <numFmt numFmtId="173" formatCode="_(* #,##0_);_(* \(#,##0\);_(* \-??_);_(@_)"/>
    <numFmt numFmtId="174" formatCode="_(* #,##0.00000000_);_(* \(#,##0.00000000\);_(* \-??_);_(@_)"/>
    <numFmt numFmtId="175" formatCode="0.00&quot;   x&quot;"/>
    <numFmt numFmtId="176" formatCode="0.00&quot;  &quot;"/>
    <numFmt numFmtId="177" formatCode="d&quot; de  &quot;mmmm&quot;, &quot;yyyy;@"/>
    <numFmt numFmtId="178" formatCode="mm/yy"/>
    <numFmt numFmtId="180" formatCode="mmmm\-yy;@"/>
    <numFmt numFmtId="181" formatCode="_(&quot;R$&quot;* #,##0.00_);_(&quot;R$&quot;* \(#,##0.00\);_(&quot;R$&quot;* \-??_);_(@_)"/>
    <numFmt numFmtId="182" formatCode="&quot;R$ &quot;#,##0.00"/>
    <numFmt numFmtId="183" formatCode="_-&quot;R$ &quot;* #,##0.00_-;&quot;-R$ &quot;* #,##0.00_-;_-&quot;R$ &quot;* \-??_-;_-@_-"/>
    <numFmt numFmtId="184" formatCode="#,##0.0000"/>
    <numFmt numFmtId="185" formatCode="#,##0.00000"/>
    <numFmt numFmtId="186" formatCode="0.0000%"/>
    <numFmt numFmtId="187" formatCode="0.0000"/>
    <numFmt numFmtId="188" formatCode="0.00000"/>
    <numFmt numFmtId="189" formatCode="#,##0.0"/>
    <numFmt numFmtId="190" formatCode="0.00&quot; m&quot;"/>
    <numFmt numFmtId="191" formatCode="#,##0.000000"/>
    <numFmt numFmtId="193" formatCode="&quot;R$&quot;\ #,##0.00"/>
  </numFmts>
  <fonts count="81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i/>
      <u/>
      <sz val="10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color indexed="4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u/>
      <sz val="8"/>
      <color indexed="55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1"/>
      <name val="Arial"/>
      <family val="2"/>
    </font>
    <font>
      <b/>
      <sz val="10"/>
      <name val="Times New Roman"/>
      <family val="1"/>
    </font>
    <font>
      <i/>
      <sz val="10"/>
      <name val="Calibri"/>
      <family val="2"/>
    </font>
    <font>
      <b/>
      <u/>
      <sz val="11"/>
      <color indexed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color indexed="10"/>
      <name val="Arial"/>
      <family val="2"/>
      <charset val="1"/>
    </font>
    <font>
      <b/>
      <sz val="8"/>
      <color indexed="10"/>
      <name val="Arial"/>
      <family val="2"/>
      <charset val="1"/>
    </font>
    <font>
      <b/>
      <i/>
      <u/>
      <sz val="8"/>
      <name val="Arial"/>
      <family val="2"/>
      <charset val="1"/>
    </font>
    <font>
      <sz val="11"/>
      <color indexed="8"/>
      <name val="Calibri"/>
      <family val="2"/>
      <charset val="1"/>
    </font>
    <font>
      <b/>
      <u/>
      <sz val="8"/>
      <name val="Arial"/>
      <family val="2"/>
      <charset val="1"/>
    </font>
    <font>
      <b/>
      <u/>
      <sz val="12"/>
      <color indexed="10"/>
      <name val="Arial"/>
      <family val="2"/>
    </font>
    <font>
      <b/>
      <u/>
      <sz val="11"/>
      <color indexed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 diagonalDown="1">
      <left/>
      <right/>
      <top/>
      <bottom/>
      <diagonal style="medium">
        <color indexed="8"/>
      </diagonal>
    </border>
    <border diagonalUp="1">
      <left/>
      <right/>
      <top/>
      <bottom/>
      <diagonal style="medium">
        <color indexed="8"/>
      </diagonal>
    </border>
    <border diagonalDown="1">
      <left/>
      <right style="medium">
        <color indexed="8"/>
      </right>
      <top/>
      <bottom/>
      <diagonal style="medium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5" fontId="74" fillId="0" borderId="0" applyFill="0" applyBorder="0" applyAlignment="0" applyProtection="0"/>
    <xf numFmtId="9" fontId="74" fillId="0" borderId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74" fillId="0" borderId="0" applyFill="0" applyBorder="0" applyAlignment="0" applyProtection="0"/>
    <xf numFmtId="164" fontId="74" fillId="0" borderId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74" fillId="0" borderId="0"/>
    <xf numFmtId="9" fontId="74" fillId="0" borderId="0" applyFill="0" applyBorder="0" applyAlignment="0" applyProtection="0"/>
    <xf numFmtId="165" fontId="74" fillId="0" borderId="0" applyFill="0" applyBorder="0" applyAlignment="0" applyProtection="0"/>
    <xf numFmtId="166" fontId="74" fillId="0" borderId="0" applyFill="0" applyBorder="0" applyAlignment="0" applyProtection="0"/>
    <xf numFmtId="0" fontId="74" fillId="0" borderId="0"/>
  </cellStyleXfs>
  <cellXfs count="1872">
    <xf numFmtId="0" fontId="0" fillId="0" borderId="0" xfId="0"/>
    <xf numFmtId="0" fontId="0" fillId="0" borderId="0" xfId="0" applyProtection="1"/>
    <xf numFmtId="0" fontId="0" fillId="0" borderId="0" xfId="0" applyFont="1" applyFill="1" applyProtection="1"/>
    <xf numFmtId="0" fontId="0" fillId="9" borderId="4" xfId="0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0" fontId="18" fillId="11" borderId="6" xfId="0" applyFont="1" applyFill="1" applyBorder="1" applyAlignment="1" applyProtection="1">
      <alignment horizontal="right" vertical="center"/>
    </xf>
    <xf numFmtId="2" fontId="19" fillId="11" borderId="7" xfId="0" applyNumberFormat="1" applyFont="1" applyFill="1" applyBorder="1" applyAlignment="1" applyProtection="1">
      <alignment vertical="center"/>
    </xf>
    <xf numFmtId="0" fontId="20" fillId="11" borderId="7" xfId="0" applyFont="1" applyFill="1" applyBorder="1" applyAlignment="1" applyProtection="1">
      <alignment vertical="center"/>
    </xf>
    <xf numFmtId="0" fontId="18" fillId="11" borderId="7" xfId="0" applyFont="1" applyFill="1" applyBorder="1" applyAlignment="1" applyProtection="1">
      <alignment vertical="center"/>
    </xf>
    <xf numFmtId="0" fontId="18" fillId="11" borderId="8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0" xfId="0" applyBorder="1" applyProtection="1"/>
    <xf numFmtId="0" fontId="18" fillId="11" borderId="9" xfId="0" applyFont="1" applyFill="1" applyBorder="1" applyAlignment="1" applyProtection="1">
      <alignment horizontal="right" vertical="center"/>
    </xf>
    <xf numFmtId="0" fontId="19" fillId="11" borderId="0" xfId="0" applyFont="1" applyFill="1" applyBorder="1" applyAlignment="1" applyProtection="1">
      <alignment vertical="center"/>
    </xf>
    <xf numFmtId="0" fontId="20" fillId="11" borderId="0" xfId="0" applyFont="1" applyFill="1" applyBorder="1" applyAlignment="1" applyProtection="1">
      <alignment vertical="center"/>
    </xf>
    <xf numFmtId="0" fontId="18" fillId="11" borderId="0" xfId="0" applyFont="1" applyFill="1" applyBorder="1" applyAlignment="1" applyProtection="1">
      <alignment vertical="center"/>
    </xf>
    <xf numFmtId="0" fontId="21" fillId="11" borderId="0" xfId="0" applyFont="1" applyFill="1" applyBorder="1" applyAlignment="1" applyProtection="1">
      <alignment vertical="center"/>
    </xf>
    <xf numFmtId="0" fontId="18" fillId="11" borderId="10" xfId="0" applyFont="1" applyFill="1" applyBorder="1" applyAlignment="1" applyProtection="1">
      <alignment vertical="center"/>
    </xf>
    <xf numFmtId="0" fontId="18" fillId="11" borderId="11" xfId="0" applyFont="1" applyFill="1" applyBorder="1" applyAlignment="1" applyProtection="1">
      <alignment horizontal="right" vertical="center"/>
    </xf>
    <xf numFmtId="0" fontId="19" fillId="11" borderId="12" xfId="0" applyFont="1" applyFill="1" applyBorder="1" applyAlignment="1" applyProtection="1">
      <alignment vertical="center"/>
    </xf>
    <xf numFmtId="0" fontId="20" fillId="11" borderId="12" xfId="0" applyFont="1" applyFill="1" applyBorder="1" applyAlignment="1" applyProtection="1">
      <alignment vertical="center"/>
    </xf>
    <xf numFmtId="0" fontId="18" fillId="11" borderId="12" xfId="0" applyFont="1" applyFill="1" applyBorder="1" applyAlignment="1" applyProtection="1">
      <alignment vertical="center"/>
    </xf>
    <xf numFmtId="0" fontId="18" fillId="11" borderId="12" xfId="0" applyFont="1" applyFill="1" applyBorder="1" applyAlignment="1" applyProtection="1">
      <alignment horizontal="right" vertical="center"/>
    </xf>
    <xf numFmtId="168" fontId="19" fillId="11" borderId="13" xfId="0" applyNumberFormat="1" applyFont="1" applyFill="1" applyBorder="1" applyAlignment="1" applyProtection="1">
      <alignment horizontal="left" vertical="center"/>
    </xf>
    <xf numFmtId="0" fontId="23" fillId="9" borderId="0" xfId="0" applyFont="1" applyFill="1" applyBorder="1" applyAlignment="1" applyProtection="1">
      <alignment vertical="center"/>
    </xf>
    <xf numFmtId="0" fontId="24" fillId="10" borderId="15" xfId="28" applyNumberFormat="1" applyFont="1" applyFill="1" applyBorder="1" applyAlignment="1" applyProtection="1">
      <alignment horizontal="center" vertical="center"/>
    </xf>
    <xf numFmtId="0" fontId="24" fillId="10" borderId="18" xfId="28" applyFont="1" applyFill="1" applyBorder="1" applyAlignment="1" applyProtection="1">
      <alignment horizontal="center" vertical="center"/>
    </xf>
    <xf numFmtId="0" fontId="24" fillId="10" borderId="17" xfId="28" applyFont="1" applyFill="1" applyBorder="1" applyAlignment="1" applyProtection="1">
      <alignment horizontal="center" vertical="center"/>
    </xf>
    <xf numFmtId="0" fontId="24" fillId="10" borderId="19" xfId="28" applyNumberFormat="1" applyFont="1" applyFill="1" applyBorder="1" applyAlignment="1" applyProtection="1">
      <alignment horizontal="center" vertical="center"/>
    </xf>
    <xf numFmtId="0" fontId="25" fillId="11" borderId="20" xfId="0" applyFont="1" applyFill="1" applyBorder="1" applyAlignment="1" applyProtection="1">
      <alignment horizontal="left" vertical="center"/>
      <protection locked="0"/>
    </xf>
    <xf numFmtId="4" fontId="0" fillId="11" borderId="21" xfId="0" applyNumberFormat="1" applyFont="1" applyFill="1" applyBorder="1" applyAlignment="1" applyProtection="1">
      <alignment horizontal="center" vertical="center"/>
      <protection locked="0"/>
    </xf>
    <xf numFmtId="4" fontId="0" fillId="9" borderId="22" xfId="0" applyNumberFormat="1" applyFont="1" applyFill="1" applyBorder="1" applyAlignment="1" applyProtection="1">
      <alignment horizontal="center" vertical="center"/>
      <protection locked="0"/>
    </xf>
    <xf numFmtId="1" fontId="0" fillId="9" borderId="22" xfId="0" applyNumberFormat="1" applyFont="1" applyFill="1" applyBorder="1" applyAlignment="1" applyProtection="1">
      <alignment horizontal="center" vertical="center"/>
      <protection locked="0"/>
    </xf>
    <xf numFmtId="0" fontId="0" fillId="9" borderId="22" xfId="0" applyFont="1" applyFill="1" applyBorder="1" applyProtection="1">
      <protection locked="0"/>
    </xf>
    <xf numFmtId="169" fontId="23" fillId="9" borderId="23" xfId="32" applyNumberFormat="1" applyFont="1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170" fontId="26" fillId="11" borderId="24" xfId="23" applyNumberFormat="1" applyFont="1" applyFill="1" applyBorder="1" applyAlignment="1" applyProtection="1">
      <alignment horizontal="center" vertical="center"/>
      <protection locked="0"/>
    </xf>
    <xf numFmtId="4" fontId="26" fillId="11" borderId="5" xfId="0" applyNumberFormat="1" applyFont="1" applyFill="1" applyBorder="1" applyAlignment="1" applyProtection="1">
      <alignment horizontal="center" vertical="center"/>
      <protection locked="0"/>
    </xf>
    <xf numFmtId="4" fontId="26" fillId="11" borderId="5" xfId="0" applyNumberFormat="1" applyFont="1" applyFill="1" applyBorder="1" applyAlignment="1" applyProtection="1">
      <alignment horizontal="right" vertical="center"/>
      <protection locked="0"/>
    </xf>
    <xf numFmtId="0" fontId="26" fillId="11" borderId="5" xfId="0" applyFont="1" applyFill="1" applyBorder="1" applyAlignment="1" applyProtection="1">
      <alignment horizontal="center" vertical="center"/>
      <protection locked="0"/>
    </xf>
    <xf numFmtId="169" fontId="26" fillId="11" borderId="25" xfId="3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4" fontId="0" fillId="9" borderId="27" xfId="0" applyNumberFormat="1" applyFill="1" applyBorder="1" applyAlignment="1" applyProtection="1">
      <alignment horizontal="center" vertical="center"/>
      <protection locked="0"/>
    </xf>
    <xf numFmtId="4" fontId="19" fillId="11" borderId="14" xfId="0" applyNumberFormat="1" applyFont="1" applyFill="1" applyBorder="1" applyAlignment="1" applyProtection="1">
      <alignment horizontal="right"/>
      <protection locked="0"/>
    </xf>
    <xf numFmtId="0" fontId="19" fillId="11" borderId="28" xfId="27" applyFont="1" applyFill="1" applyBorder="1" applyAlignment="1" applyProtection="1">
      <alignment horizontal="center" vertical="center" wrapText="1"/>
      <protection locked="0"/>
    </xf>
    <xf numFmtId="169" fontId="0" fillId="9" borderId="29" xfId="32" applyNumberFormat="1" applyFont="1" applyFill="1" applyBorder="1" applyAlignment="1" applyProtection="1">
      <alignment horizontal="left" vertical="center"/>
      <protection locked="0"/>
    </xf>
    <xf numFmtId="0" fontId="25" fillId="11" borderId="30" xfId="0" applyFont="1" applyFill="1" applyBorder="1" applyAlignment="1" applyProtection="1">
      <alignment horizontal="left" vertical="center"/>
      <protection locked="0"/>
    </xf>
    <xf numFmtId="4" fontId="0" fillId="11" borderId="31" xfId="0" applyNumberFormat="1" applyFill="1" applyBorder="1" applyAlignment="1" applyProtection="1">
      <alignment horizontal="center" vertical="center"/>
      <protection locked="0"/>
    </xf>
    <xf numFmtId="4" fontId="0" fillId="9" borderId="12" xfId="0" applyNumberFormat="1" applyFill="1" applyBorder="1" applyAlignment="1" applyProtection="1">
      <alignment horizontal="center" vertical="center"/>
      <protection locked="0"/>
    </xf>
    <xf numFmtId="4" fontId="0" fillId="9" borderId="12" xfId="0" applyNumberFormat="1" applyFont="1" applyFill="1" applyBorder="1" applyAlignment="1" applyProtection="1">
      <alignment horizontal="right" vertical="center"/>
      <protection locked="0"/>
    </xf>
    <xf numFmtId="4" fontId="0" fillId="9" borderId="12" xfId="0" applyNumberFormat="1" applyFill="1" applyBorder="1" applyAlignment="1" applyProtection="1">
      <alignment horizontal="right" vertical="center"/>
      <protection locked="0"/>
    </xf>
    <xf numFmtId="0" fontId="0" fillId="9" borderId="12" xfId="0" applyFont="1" applyFill="1" applyBorder="1" applyAlignment="1" applyProtection="1">
      <alignment horizontal="center" vertical="center"/>
      <protection locked="0"/>
    </xf>
    <xf numFmtId="169" fontId="0" fillId="9" borderId="32" xfId="32" applyNumberFormat="1" applyFont="1" applyFill="1" applyBorder="1" applyAlignment="1" applyProtection="1">
      <alignment horizontal="left" vertical="center"/>
      <protection locked="0"/>
    </xf>
    <xf numFmtId="0" fontId="0" fillId="11" borderId="33" xfId="0" applyFont="1" applyFill="1" applyBorder="1" applyAlignment="1" applyProtection="1">
      <alignment horizontal="center" vertical="center"/>
      <protection locked="0"/>
    </xf>
    <xf numFmtId="49" fontId="0" fillId="11" borderId="33" xfId="1" applyNumberFormat="1" applyFont="1" applyFill="1" applyBorder="1" applyAlignment="1" applyProtection="1">
      <alignment horizontal="center" vertical="center"/>
      <protection locked="0"/>
    </xf>
    <xf numFmtId="49" fontId="0" fillId="11" borderId="34" xfId="1" applyNumberFormat="1" applyFont="1" applyFill="1" applyBorder="1" applyAlignment="1" applyProtection="1">
      <alignment horizontal="center" vertical="center"/>
      <protection locked="0"/>
    </xf>
    <xf numFmtId="4" fontId="26" fillId="11" borderId="2" xfId="0" applyNumberFormat="1" applyFont="1" applyFill="1" applyBorder="1" applyAlignment="1" applyProtection="1">
      <alignment horizontal="center" vertical="center"/>
      <protection locked="0"/>
    </xf>
    <xf numFmtId="4" fontId="26" fillId="11" borderId="2" xfId="0" applyNumberFormat="1" applyFont="1" applyFill="1" applyBorder="1" applyAlignment="1" applyProtection="1">
      <alignment horizontal="right" vertical="center"/>
      <protection locked="0"/>
    </xf>
    <xf numFmtId="4" fontId="26" fillId="11" borderId="33" xfId="0" applyNumberFormat="1" applyFont="1" applyFill="1" applyBorder="1" applyAlignment="1" applyProtection="1">
      <alignment horizontal="right" vertical="center"/>
      <protection locked="0"/>
    </xf>
    <xf numFmtId="0" fontId="0" fillId="11" borderId="35" xfId="0" applyFont="1" applyFill="1" applyBorder="1" applyAlignment="1" applyProtection="1">
      <alignment horizontal="justify" vertical="center"/>
      <protection locked="0"/>
    </xf>
    <xf numFmtId="169" fontId="26" fillId="11" borderId="36" xfId="32" applyNumberFormat="1" applyFont="1" applyFill="1" applyBorder="1" applyAlignment="1" applyProtection="1">
      <alignment horizontal="center" vertical="center"/>
      <protection locked="0"/>
    </xf>
    <xf numFmtId="4" fontId="26" fillId="11" borderId="33" xfId="0" applyNumberFormat="1" applyFont="1" applyFill="1" applyBorder="1" applyAlignment="1" applyProtection="1">
      <alignment horizontal="center" vertical="center"/>
      <protection locked="0"/>
    </xf>
    <xf numFmtId="0" fontId="0" fillId="11" borderId="33" xfId="0" applyFont="1" applyFill="1" applyBorder="1" applyAlignment="1" applyProtection="1">
      <alignment horizontal="justify" vertical="center" wrapText="1"/>
      <protection locked="0"/>
    </xf>
    <xf numFmtId="169" fontId="26" fillId="11" borderId="37" xfId="3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7" fillId="11" borderId="33" xfId="0" applyFont="1" applyFill="1" applyBorder="1" applyAlignment="1" applyProtection="1">
      <alignment horizontal="justify" vertical="center" wrapText="1"/>
      <protection locked="0"/>
    </xf>
    <xf numFmtId="0" fontId="19" fillId="11" borderId="28" xfId="27" applyFont="1" applyFill="1" applyBorder="1" applyAlignment="1" applyProtection="1">
      <alignment horizontal="center" vertical="center"/>
      <protection locked="0"/>
    </xf>
    <xf numFmtId="0" fontId="25" fillId="9" borderId="38" xfId="0" applyFont="1" applyFill="1" applyBorder="1" applyAlignment="1" applyProtection="1">
      <alignment horizontal="left" vertical="center"/>
      <protection locked="0"/>
    </xf>
    <xf numFmtId="0" fontId="25" fillId="9" borderId="39" xfId="0" applyFont="1" applyFill="1" applyBorder="1" applyAlignment="1" applyProtection="1">
      <alignment horizontal="left" vertical="center"/>
      <protection locked="0"/>
    </xf>
    <xf numFmtId="4" fontId="0" fillId="9" borderId="4" xfId="0" applyNumberFormat="1" applyFill="1" applyBorder="1" applyAlignment="1" applyProtection="1">
      <alignment horizontal="center" vertical="center"/>
      <protection locked="0"/>
    </xf>
    <xf numFmtId="4" fontId="0" fillId="9" borderId="4" xfId="0" applyNumberFormat="1" applyFont="1" applyFill="1" applyBorder="1" applyAlignment="1" applyProtection="1">
      <alignment horizontal="right" vertical="center"/>
      <protection locked="0"/>
    </xf>
    <xf numFmtId="4" fontId="24" fillId="9" borderId="5" xfId="0" applyNumberFormat="1" applyFont="1" applyFill="1" applyBorder="1" applyAlignment="1" applyProtection="1">
      <alignment horizontal="center" vertical="center"/>
      <protection locked="0"/>
    </xf>
    <xf numFmtId="4" fontId="0" fillId="9" borderId="4" xfId="0" applyNumberFormat="1" applyFill="1" applyBorder="1" applyAlignment="1" applyProtection="1">
      <alignment horizontal="right" vertical="center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169" fontId="0" fillId="9" borderId="40" xfId="32" applyNumberFormat="1" applyFont="1" applyFill="1" applyBorder="1" applyAlignment="1" applyProtection="1">
      <alignment horizontal="left" vertical="center"/>
      <protection locked="0"/>
    </xf>
    <xf numFmtId="4" fontId="26" fillId="11" borderId="5" xfId="0" applyNumberFormat="1" applyFont="1" applyFill="1" applyBorder="1" applyAlignment="1" applyProtection="1">
      <alignment vertical="center"/>
      <protection locked="0"/>
    </xf>
    <xf numFmtId="0" fontId="26" fillId="9" borderId="39" xfId="0" applyFont="1" applyFill="1" applyBorder="1" applyAlignment="1" applyProtection="1">
      <alignment horizontal="center" vertical="center"/>
      <protection locked="0"/>
    </xf>
    <xf numFmtId="4" fontId="26" fillId="9" borderId="4" xfId="0" applyNumberFormat="1" applyFont="1" applyFill="1" applyBorder="1" applyAlignment="1" applyProtection="1">
      <alignment horizontal="center" vertical="center"/>
      <protection locked="0"/>
    </xf>
    <xf numFmtId="4" fontId="26" fillId="9" borderId="4" xfId="0" applyNumberFormat="1" applyFont="1" applyFill="1" applyBorder="1" applyAlignment="1" applyProtection="1">
      <alignment horizontal="right" vertical="center"/>
      <protection locked="0"/>
    </xf>
    <xf numFmtId="0" fontId="26" fillId="9" borderId="4" xfId="0" applyFont="1" applyFill="1" applyBorder="1" applyAlignment="1" applyProtection="1">
      <alignment horizontal="center" vertical="center"/>
      <protection locked="0"/>
    </xf>
    <xf numFmtId="169" fontId="26" fillId="9" borderId="40" xfId="32" applyNumberFormat="1" applyFont="1" applyFill="1" applyBorder="1" applyAlignment="1" applyProtection="1">
      <alignment horizontal="left" vertical="center"/>
      <protection locked="0"/>
    </xf>
    <xf numFmtId="0" fontId="26" fillId="9" borderId="41" xfId="0" applyFont="1" applyFill="1" applyBorder="1" applyAlignment="1" applyProtection="1">
      <alignment horizontal="center" vertical="center"/>
      <protection locked="0"/>
    </xf>
    <xf numFmtId="4" fontId="26" fillId="9" borderId="7" xfId="0" applyNumberFormat="1" applyFont="1" applyFill="1" applyBorder="1" applyAlignment="1" applyProtection="1">
      <alignment horizontal="center" vertical="center"/>
      <protection locked="0"/>
    </xf>
    <xf numFmtId="4" fontId="26" fillId="9" borderId="7" xfId="0" applyNumberFormat="1" applyFont="1" applyFill="1" applyBorder="1" applyAlignment="1" applyProtection="1">
      <alignment horizontal="right" vertical="center"/>
      <protection locked="0"/>
    </xf>
    <xf numFmtId="0" fontId="26" fillId="9" borderId="7" xfId="0" applyFont="1" applyFill="1" applyBorder="1" applyAlignment="1" applyProtection="1">
      <alignment horizontal="center" vertical="center"/>
      <protection locked="0"/>
    </xf>
    <xf numFmtId="0" fontId="26" fillId="9" borderId="42" xfId="0" applyFont="1" applyFill="1" applyBorder="1" applyAlignment="1" applyProtection="1">
      <alignment horizontal="center" vertical="center"/>
      <protection locked="0"/>
    </xf>
    <xf numFmtId="0" fontId="26" fillId="9" borderId="43" xfId="0" applyFont="1" applyFill="1" applyBorder="1" applyAlignment="1" applyProtection="1">
      <alignment horizontal="center" vertical="center"/>
      <protection locked="0"/>
    </xf>
    <xf numFmtId="4" fontId="26" fillId="9" borderId="0" xfId="0" applyNumberFormat="1" applyFont="1" applyFill="1" applyBorder="1" applyAlignment="1" applyProtection="1">
      <alignment horizontal="center" vertical="center"/>
      <protection locked="0"/>
    </xf>
    <xf numFmtId="4" fontId="26" fillId="9" borderId="10" xfId="0" applyNumberFormat="1" applyFont="1" applyFill="1" applyBorder="1" applyAlignment="1" applyProtection="1">
      <alignment horizontal="center" vertical="center"/>
      <protection locked="0"/>
    </xf>
    <xf numFmtId="4" fontId="24" fillId="11" borderId="44" xfId="0" applyNumberFormat="1" applyFont="1" applyFill="1" applyBorder="1" applyAlignment="1" applyProtection="1">
      <alignment horizontal="center" vertical="center"/>
      <protection locked="0"/>
    </xf>
    <xf numFmtId="4" fontId="24" fillId="0" borderId="5" xfId="1" applyNumberFormat="1" applyFont="1" applyFill="1" applyBorder="1" applyAlignment="1" applyProtection="1">
      <alignment vertical="center"/>
    </xf>
    <xf numFmtId="0" fontId="0" fillId="9" borderId="45" xfId="0" applyFill="1" applyBorder="1" applyAlignment="1" applyProtection="1">
      <alignment horizontal="center" vertical="center"/>
      <protection locked="0"/>
    </xf>
    <xf numFmtId="4" fontId="0" fillId="9" borderId="46" xfId="0" applyNumberFormat="1" applyFill="1" applyBorder="1" applyAlignment="1" applyProtection="1">
      <alignment horizontal="center" vertical="center"/>
      <protection locked="0"/>
    </xf>
    <xf numFmtId="4" fontId="0" fillId="9" borderId="47" xfId="0" applyNumberFormat="1" applyFill="1" applyBorder="1" applyAlignment="1" applyProtection="1">
      <alignment horizontal="right" vertical="center"/>
      <protection locked="0"/>
    </xf>
    <xf numFmtId="0" fontId="0" fillId="9" borderId="47" xfId="0" applyFont="1" applyFill="1" applyBorder="1" applyAlignment="1" applyProtection="1">
      <alignment horizontal="center" vertical="center"/>
      <protection locked="0"/>
    </xf>
    <xf numFmtId="169" fontId="0" fillId="9" borderId="48" xfId="32" applyNumberFormat="1" applyFont="1" applyFill="1" applyBorder="1" applyAlignment="1" applyProtection="1">
      <alignment horizontal="left" vertical="center"/>
      <protection locked="0"/>
    </xf>
    <xf numFmtId="0" fontId="0" fillId="9" borderId="0" xfId="0" applyFill="1" applyBorder="1" applyAlignment="1" applyProtection="1">
      <alignment horizontal="center"/>
    </xf>
    <xf numFmtId="1" fontId="0" fillId="9" borderId="0" xfId="0" applyNumberFormat="1" applyFill="1" applyBorder="1" applyAlignment="1" applyProtection="1">
      <alignment horizontal="center"/>
    </xf>
    <xf numFmtId="0" fontId="0" fillId="9" borderId="0" xfId="0" applyFont="1" applyFill="1" applyBorder="1" applyAlignment="1" applyProtection="1">
      <alignment horizontal="left" vertical="center"/>
    </xf>
    <xf numFmtId="169" fontId="0" fillId="9" borderId="0" xfId="32" applyNumberFormat="1" applyFont="1" applyFill="1" applyBorder="1" applyAlignment="1" applyProtection="1">
      <alignment horizontal="right" vertical="center"/>
    </xf>
    <xf numFmtId="49" fontId="24" fillId="9" borderId="0" xfId="27" applyNumberFormat="1" applyFont="1" applyFill="1" applyBorder="1" applyAlignment="1" applyProtection="1">
      <alignment vertical="center"/>
    </xf>
    <xf numFmtId="49" fontId="24" fillId="9" borderId="20" xfId="27" applyNumberFormat="1" applyFont="1" applyFill="1" applyBorder="1" applyAlignment="1" applyProtection="1">
      <alignment vertical="center"/>
    </xf>
    <xf numFmtId="49" fontId="24" fillId="9" borderId="22" xfId="27" applyNumberFormat="1" applyFont="1" applyFill="1" applyBorder="1" applyAlignment="1" applyProtection="1">
      <alignment horizontal="right" vertical="center"/>
    </xf>
    <xf numFmtId="167" fontId="24" fillId="9" borderId="22" xfId="27" applyNumberFormat="1" applyFont="1" applyFill="1" applyBorder="1" applyAlignment="1" applyProtection="1">
      <alignment vertical="center"/>
    </xf>
    <xf numFmtId="4" fontId="24" fillId="9" borderId="23" xfId="27" applyNumberFormat="1" applyFont="1" applyFill="1" applyBorder="1" applyAlignment="1" applyProtection="1">
      <alignment vertical="center"/>
    </xf>
    <xf numFmtId="49" fontId="24" fillId="9" borderId="49" xfId="27" applyNumberFormat="1" applyFont="1" applyFill="1" applyBorder="1" applyAlignment="1" applyProtection="1">
      <alignment vertical="center"/>
    </xf>
    <xf numFmtId="49" fontId="24" fillId="9" borderId="47" xfId="27" applyNumberFormat="1" applyFont="1" applyFill="1" applyBorder="1" applyAlignment="1" applyProtection="1">
      <alignment horizontal="right" vertical="center"/>
    </xf>
    <xf numFmtId="167" fontId="24" fillId="9" borderId="47" xfId="27" applyNumberFormat="1" applyFont="1" applyFill="1" applyBorder="1" applyAlignment="1" applyProtection="1">
      <alignment vertical="center"/>
    </xf>
    <xf numFmtId="4" fontId="24" fillId="9" borderId="48" xfId="27" applyNumberFormat="1" applyFont="1" applyFill="1" applyBorder="1" applyAlignment="1" applyProtection="1">
      <alignment vertical="center"/>
    </xf>
    <xf numFmtId="49" fontId="24" fillId="9" borderId="50" xfId="27" applyNumberFormat="1" applyFont="1" applyFill="1" applyBorder="1" applyAlignment="1" applyProtection="1">
      <alignment vertical="center"/>
    </xf>
    <xf numFmtId="49" fontId="24" fillId="9" borderId="51" xfId="27" applyNumberFormat="1" applyFont="1" applyFill="1" applyBorder="1" applyAlignment="1" applyProtection="1">
      <alignment horizontal="right" vertical="center"/>
    </xf>
    <xf numFmtId="167" fontId="24" fillId="9" borderId="51" xfId="27" applyNumberFormat="1" applyFont="1" applyFill="1" applyBorder="1" applyAlignment="1" applyProtection="1">
      <alignment vertical="center"/>
    </xf>
    <xf numFmtId="0" fontId="24" fillId="9" borderId="28" xfId="27" applyFont="1" applyFill="1" applyBorder="1" applyAlignment="1" applyProtection="1">
      <alignment vertical="center"/>
    </xf>
    <xf numFmtId="0" fontId="0" fillId="9" borderId="0" xfId="0" applyFill="1" applyProtection="1"/>
    <xf numFmtId="0" fontId="0" fillId="9" borderId="0" xfId="0" applyFont="1" applyFill="1" applyBorder="1" applyAlignment="1" applyProtection="1">
      <alignment horizontal="left"/>
    </xf>
    <xf numFmtId="2" fontId="0" fillId="9" borderId="0" xfId="0" applyNumberFormat="1" applyFill="1" applyBorder="1" applyAlignment="1" applyProtection="1">
      <alignment horizontal="center"/>
    </xf>
    <xf numFmtId="0" fontId="23" fillId="9" borderId="0" xfId="23" applyFont="1" applyFill="1" applyBorder="1" applyAlignment="1" applyProtection="1">
      <alignment horizontal="center" vertical="top"/>
    </xf>
    <xf numFmtId="0" fontId="28" fillId="9" borderId="0" xfId="23" applyFont="1" applyFill="1" applyAlignment="1" applyProtection="1">
      <alignment horizontal="center" vertical="top"/>
    </xf>
    <xf numFmtId="0" fontId="0" fillId="9" borderId="0" xfId="0" applyFill="1" applyBorder="1" applyProtection="1"/>
    <xf numFmtId="1" fontId="0" fillId="9" borderId="0" xfId="0" applyNumberFormat="1" applyFill="1" applyBorder="1" applyAlignment="1" applyProtection="1"/>
    <xf numFmtId="0" fontId="0" fillId="9" borderId="0" xfId="0" applyFont="1" applyFill="1" applyBorder="1" applyAlignment="1" applyProtection="1">
      <alignment horizontal="center"/>
    </xf>
    <xf numFmtId="0" fontId="23" fillId="9" borderId="0" xfId="23" applyFont="1" applyFill="1" applyBorder="1" applyAlignment="1" applyProtection="1">
      <alignment vertical="top"/>
    </xf>
    <xf numFmtId="0" fontId="29" fillId="9" borderId="0" xfId="23" applyFont="1" applyFill="1" applyBorder="1" applyAlignment="1" applyProtection="1"/>
    <xf numFmtId="0" fontId="0" fillId="9" borderId="0" xfId="23" applyFont="1" applyFill="1" applyAlignment="1" applyProtection="1">
      <alignment horizontal="center"/>
    </xf>
    <xf numFmtId="0" fontId="30" fillId="9" borderId="0" xfId="23" applyFont="1" applyFill="1" applyBorder="1" applyAlignment="1" applyProtection="1">
      <alignment vertical="top"/>
    </xf>
    <xf numFmtId="0" fontId="31" fillId="9" borderId="0" xfId="23" applyFont="1" applyFill="1" applyBorder="1" applyAlignment="1" applyProtection="1"/>
    <xf numFmtId="0" fontId="30" fillId="9" borderId="0" xfId="23" applyFont="1" applyFill="1" applyAlignment="1" applyProtection="1">
      <alignment horizontal="center"/>
    </xf>
    <xf numFmtId="0" fontId="0" fillId="0" borderId="0" xfId="22" applyFont="1" applyFill="1" applyAlignment="1" applyProtection="1">
      <alignment vertical="center"/>
    </xf>
    <xf numFmtId="0" fontId="0" fillId="0" borderId="0" xfId="22" applyFont="1" applyFill="1" applyBorder="1" applyAlignment="1" applyProtection="1">
      <alignment vertical="center"/>
    </xf>
    <xf numFmtId="1" fontId="0" fillId="0" borderId="0" xfId="22" applyNumberFormat="1" applyFont="1" applyFill="1" applyBorder="1" applyAlignment="1" applyProtection="1">
      <alignment horizontal="center" vertical="center"/>
    </xf>
    <xf numFmtId="0" fontId="0" fillId="0" borderId="0" xfId="22" applyFont="1" applyFill="1" applyBorder="1" applyAlignment="1" applyProtection="1">
      <alignment horizontal="left" vertical="center"/>
    </xf>
    <xf numFmtId="2" fontId="0" fillId="0" borderId="0" xfId="31" applyNumberFormat="1" applyFont="1" applyFill="1" applyBorder="1" applyAlignment="1" applyProtection="1">
      <alignment vertical="center"/>
    </xf>
    <xf numFmtId="0" fontId="23" fillId="0" borderId="53" xfId="22" applyFont="1" applyFill="1" applyBorder="1" applyAlignment="1" applyProtection="1">
      <alignment horizontal="left" vertical="center"/>
    </xf>
    <xf numFmtId="2" fontId="23" fillId="0" borderId="22" xfId="22" applyNumberFormat="1" applyFont="1" applyFill="1" applyBorder="1" applyAlignment="1" applyProtection="1">
      <alignment vertical="center"/>
    </xf>
    <xf numFmtId="0" fontId="23" fillId="0" borderId="23" xfId="22" applyFont="1" applyFill="1" applyBorder="1" applyAlignment="1" applyProtection="1">
      <alignment horizontal="left" vertical="center"/>
    </xf>
    <xf numFmtId="0" fontId="23" fillId="0" borderId="41" xfId="22" applyFont="1" applyFill="1" applyBorder="1" applyAlignment="1" applyProtection="1">
      <alignment vertical="center"/>
    </xf>
    <xf numFmtId="0" fontId="23" fillId="0" borderId="7" xfId="22" applyFont="1" applyFill="1" applyBorder="1" applyAlignment="1" applyProtection="1">
      <alignment vertical="center"/>
    </xf>
    <xf numFmtId="0" fontId="23" fillId="0" borderId="8" xfId="22" applyFont="1" applyFill="1" applyBorder="1" applyAlignment="1" applyProtection="1">
      <alignment vertical="center"/>
    </xf>
    <xf numFmtId="2" fontId="23" fillId="0" borderId="6" xfId="22" applyNumberFormat="1" applyFont="1" applyFill="1" applyBorder="1" applyAlignment="1" applyProtection="1">
      <alignment vertical="center"/>
    </xf>
    <xf numFmtId="2" fontId="23" fillId="0" borderId="7" xfId="22" applyNumberFormat="1" applyFont="1" applyFill="1" applyBorder="1" applyAlignment="1" applyProtection="1">
      <alignment vertical="center"/>
    </xf>
    <xf numFmtId="0" fontId="23" fillId="0" borderId="6" xfId="22" applyFont="1" applyFill="1" applyBorder="1" applyAlignment="1" applyProtection="1">
      <alignment vertical="center"/>
    </xf>
    <xf numFmtId="2" fontId="23" fillId="0" borderId="8" xfId="22" applyNumberFormat="1" applyFont="1" applyFill="1" applyBorder="1" applyAlignment="1" applyProtection="1">
      <alignment vertical="center"/>
    </xf>
    <xf numFmtId="0" fontId="23" fillId="0" borderId="42" xfId="22" applyFont="1" applyFill="1" applyBorder="1" applyAlignment="1" applyProtection="1">
      <alignment vertical="center"/>
    </xf>
    <xf numFmtId="0" fontId="23" fillId="0" borderId="26" xfId="22" applyFont="1" applyFill="1" applyBorder="1" applyAlignment="1" applyProtection="1">
      <alignment horizontal="center" vertical="center"/>
    </xf>
    <xf numFmtId="0" fontId="23" fillId="0" borderId="27" xfId="22" applyFont="1" applyFill="1" applyBorder="1" applyAlignment="1" applyProtection="1">
      <alignment horizontal="center" vertical="center"/>
    </xf>
    <xf numFmtId="0" fontId="23" fillId="0" borderId="27" xfId="22" applyFont="1" applyFill="1" applyBorder="1" applyAlignment="1" applyProtection="1">
      <alignment horizontal="right" vertical="center"/>
    </xf>
    <xf numFmtId="2" fontId="23" fillId="0" borderId="9" xfId="22" applyNumberFormat="1" applyFont="1" applyFill="1" applyBorder="1" applyAlignment="1" applyProtection="1">
      <alignment horizontal="center" vertical="center"/>
    </xf>
    <xf numFmtId="2" fontId="23" fillId="0" borderId="0" xfId="22" applyNumberFormat="1" applyFont="1" applyFill="1" applyBorder="1" applyAlignment="1" applyProtection="1">
      <alignment vertical="center"/>
    </xf>
    <xf numFmtId="0" fontId="23" fillId="0" borderId="56" xfId="22" applyFont="1" applyFill="1" applyBorder="1" applyAlignment="1" applyProtection="1">
      <alignment vertical="center"/>
    </xf>
    <xf numFmtId="0" fontId="23" fillId="0" borderId="45" xfId="22" applyFont="1" applyFill="1" applyBorder="1" applyAlignment="1" applyProtection="1">
      <alignment horizontal="center" vertical="center"/>
    </xf>
    <xf numFmtId="0" fontId="23" fillId="0" borderId="46" xfId="22" applyFont="1" applyFill="1" applyBorder="1" applyAlignment="1" applyProtection="1">
      <alignment horizontal="center" vertical="center"/>
    </xf>
    <xf numFmtId="0" fontId="23" fillId="0" borderId="46" xfId="22" applyFont="1" applyFill="1" applyBorder="1" applyAlignment="1" applyProtection="1">
      <alignment horizontal="left" vertical="center"/>
    </xf>
    <xf numFmtId="0" fontId="32" fillId="0" borderId="57" xfId="22" applyFont="1" applyFill="1" applyBorder="1" applyAlignment="1" applyProtection="1">
      <alignment vertical="center"/>
    </xf>
    <xf numFmtId="0" fontId="32" fillId="0" borderId="27" xfId="22" applyFont="1" applyFill="1" applyBorder="1" applyAlignment="1" applyProtection="1">
      <alignment vertical="center"/>
    </xf>
    <xf numFmtId="0" fontId="32" fillId="0" borderId="58" xfId="22" applyFont="1" applyFill="1" applyBorder="1" applyAlignment="1" applyProtection="1">
      <alignment vertical="center"/>
    </xf>
    <xf numFmtId="0" fontId="33" fillId="0" borderId="0" xfId="22" applyFont="1" applyFill="1" applyAlignment="1" applyProtection="1">
      <alignment vertical="center"/>
    </xf>
    <xf numFmtId="0" fontId="32" fillId="0" borderId="63" xfId="22" applyFont="1" applyFill="1" applyBorder="1" applyAlignment="1" applyProtection="1">
      <alignment horizontal="center" vertical="center" wrapText="1"/>
    </xf>
    <xf numFmtId="0" fontId="32" fillId="0" borderId="63" xfId="22" applyFont="1" applyFill="1" applyBorder="1" applyAlignment="1" applyProtection="1">
      <alignment horizontal="center" vertical="center"/>
    </xf>
    <xf numFmtId="0" fontId="32" fillId="0" borderId="65" xfId="22" applyFont="1" applyFill="1" applyBorder="1" applyAlignment="1" applyProtection="1">
      <alignment horizontal="center" vertical="center"/>
    </xf>
    <xf numFmtId="170" fontId="0" fillId="0" borderId="20" xfId="22" applyNumberFormat="1" applyFont="1" applyFill="1" applyBorder="1" applyAlignment="1" applyProtection="1">
      <alignment horizontal="center" vertical="center"/>
    </xf>
    <xf numFmtId="170" fontId="0" fillId="0" borderId="22" xfId="22" applyNumberFormat="1" applyFont="1" applyFill="1" applyBorder="1" applyAlignment="1" applyProtection="1">
      <alignment horizontal="center" vertical="center"/>
    </xf>
    <xf numFmtId="171" fontId="0" fillId="0" borderId="22" xfId="22" applyNumberFormat="1" applyFont="1" applyFill="1" applyBorder="1" applyAlignment="1" applyProtection="1">
      <alignment horizontal="center" vertical="center"/>
    </xf>
    <xf numFmtId="172" fontId="0" fillId="0" borderId="22" xfId="22" applyNumberFormat="1" applyFont="1" applyFill="1" applyBorder="1" applyAlignment="1" applyProtection="1">
      <alignment horizontal="center" vertical="center"/>
    </xf>
    <xf numFmtId="0" fontId="0" fillId="0" borderId="22" xfId="22" applyFont="1" applyFill="1" applyBorder="1" applyAlignment="1" applyProtection="1">
      <alignment horizontal="justify" vertical="center" wrapText="1"/>
    </xf>
    <xf numFmtId="4" fontId="0" fillId="0" borderId="22" xfId="22" applyNumberFormat="1" applyFont="1" applyFill="1" applyBorder="1" applyAlignment="1" applyProtection="1">
      <alignment horizontal="center" vertical="center"/>
    </xf>
    <xf numFmtId="4" fontId="0" fillId="0" borderId="22" xfId="22" applyNumberFormat="1" applyFont="1" applyFill="1" applyBorder="1" applyAlignment="1" applyProtection="1">
      <alignment horizontal="right" vertical="center" wrapText="1"/>
    </xf>
    <xf numFmtId="0" fontId="0" fillId="0" borderId="22" xfId="22" applyFont="1" applyFill="1" applyBorder="1" applyAlignment="1" applyProtection="1">
      <alignment horizontal="center" vertical="center"/>
    </xf>
    <xf numFmtId="3" fontId="0" fillId="0" borderId="22" xfId="22" applyNumberFormat="1" applyFont="1" applyFill="1" applyBorder="1" applyAlignment="1" applyProtection="1">
      <alignment horizontal="right" vertical="center"/>
    </xf>
    <xf numFmtId="3" fontId="0" fillId="0" borderId="23" xfId="22" applyNumberFormat="1" applyFont="1" applyFill="1" applyBorder="1" applyAlignment="1" applyProtection="1">
      <alignment horizontal="right" vertical="center"/>
    </xf>
    <xf numFmtId="0" fontId="0" fillId="9" borderId="0" xfId="22" applyFont="1" applyFill="1" applyAlignment="1" applyProtection="1">
      <alignment vertical="center"/>
      <protection locked="0"/>
    </xf>
    <xf numFmtId="0" fontId="0" fillId="0" borderId="66" xfId="22" applyFont="1" applyFill="1" applyBorder="1" applyAlignment="1" applyProtection="1">
      <alignment horizontal="center" vertical="center"/>
      <protection locked="0"/>
    </xf>
    <xf numFmtId="4" fontId="0" fillId="0" borderId="67" xfId="22" applyNumberFormat="1" applyFont="1" applyFill="1" applyBorder="1" applyAlignment="1" applyProtection="1">
      <alignment horizontal="center" vertical="center"/>
      <protection locked="0"/>
    </xf>
    <xf numFmtId="165" fontId="0" fillId="0" borderId="67" xfId="1" applyFont="1" applyFill="1" applyBorder="1" applyAlignment="1" applyProtection="1">
      <alignment horizontal="center" vertical="center"/>
      <protection locked="0"/>
    </xf>
    <xf numFmtId="172" fontId="0" fillId="0" borderId="67" xfId="22" applyNumberFormat="1" applyFont="1" applyFill="1" applyBorder="1" applyAlignment="1" applyProtection="1">
      <alignment horizontal="center" vertical="center"/>
      <protection locked="0"/>
    </xf>
    <xf numFmtId="172" fontId="28" fillId="0" borderId="67" xfId="31" applyNumberFormat="1" applyFont="1" applyFill="1" applyBorder="1" applyAlignment="1" applyProtection="1">
      <alignment horizontal="right" vertical="center"/>
      <protection locked="0"/>
    </xf>
    <xf numFmtId="0" fontId="0" fillId="0" borderId="67" xfId="22" applyFont="1" applyFill="1" applyBorder="1" applyAlignment="1" applyProtection="1">
      <alignment horizontal="justify" vertical="center"/>
      <protection locked="0"/>
    </xf>
    <xf numFmtId="4" fontId="0" fillId="0" borderId="67" xfId="22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23" applyFont="1" applyFill="1" applyBorder="1" applyAlignment="1" applyProtection="1">
      <alignment horizontal="center" vertical="center"/>
      <protection locked="0"/>
    </xf>
    <xf numFmtId="4" fontId="0" fillId="0" borderId="67" xfId="22" applyNumberFormat="1" applyFont="1" applyFill="1" applyBorder="1" applyAlignment="1" applyProtection="1">
      <alignment horizontal="right" vertical="center"/>
      <protection locked="0"/>
    </xf>
    <xf numFmtId="4" fontId="0" fillId="0" borderId="37" xfId="22" applyNumberFormat="1" applyFont="1" applyFill="1" applyBorder="1" applyAlignment="1" applyProtection="1">
      <alignment horizontal="right" vertical="center"/>
      <protection locked="0"/>
    </xf>
    <xf numFmtId="4" fontId="0" fillId="11" borderId="33" xfId="0" applyNumberFormat="1" applyFont="1" applyFill="1" applyBorder="1" applyAlignment="1" applyProtection="1">
      <alignment horizontal="center" vertical="center"/>
      <protection locked="0"/>
    </xf>
    <xf numFmtId="172" fontId="0" fillId="3" borderId="33" xfId="22" applyNumberFormat="1" applyFont="1" applyFill="1" applyBorder="1" applyAlignment="1" applyProtection="1">
      <alignment horizontal="center" vertical="center"/>
      <protection locked="0"/>
    </xf>
    <xf numFmtId="172" fontId="0" fillId="11" borderId="33" xfId="0" applyNumberFormat="1" applyFont="1" applyFill="1" applyBorder="1" applyAlignment="1" applyProtection="1">
      <alignment vertical="center"/>
      <protection locked="0"/>
    </xf>
    <xf numFmtId="4" fontId="0" fillId="11" borderId="34" xfId="0" applyNumberFormat="1" applyFont="1" applyFill="1" applyBorder="1" applyAlignment="1" applyProtection="1">
      <alignment horizontal="center" vertical="center"/>
      <protection locked="0"/>
    </xf>
    <xf numFmtId="4" fontId="0" fillId="3" borderId="33" xfId="22" applyNumberFormat="1" applyFont="1" applyFill="1" applyBorder="1" applyAlignment="1" applyProtection="1">
      <alignment horizontal="right" vertical="center" wrapText="1"/>
      <protection locked="0"/>
    </xf>
    <xf numFmtId="4" fontId="0" fillId="11" borderId="33" xfId="22" applyNumberFormat="1" applyFont="1" applyFill="1" applyBorder="1" applyAlignment="1" applyProtection="1">
      <alignment horizontal="center" vertical="center"/>
      <protection locked="0"/>
    </xf>
    <xf numFmtId="0" fontId="0" fillId="11" borderId="68" xfId="23" applyFont="1" applyFill="1" applyBorder="1" applyAlignment="1" applyProtection="1">
      <alignment horizontal="center" vertical="center"/>
      <protection locked="0"/>
    </xf>
    <xf numFmtId="4" fontId="0" fillId="3" borderId="33" xfId="22" applyNumberFormat="1" applyFont="1" applyFill="1" applyBorder="1" applyAlignment="1" applyProtection="1">
      <alignment horizontal="right" vertical="center"/>
      <protection locked="0"/>
    </xf>
    <xf numFmtId="4" fontId="0" fillId="11" borderId="69" xfId="0" applyNumberFormat="1" applyFont="1" applyFill="1" applyBorder="1" applyAlignment="1" applyProtection="1">
      <alignment horizontal="center" vertical="center"/>
      <protection locked="0"/>
    </xf>
    <xf numFmtId="4" fontId="0" fillId="3" borderId="37" xfId="22" applyNumberFormat="1" applyFont="1" applyFill="1" applyBorder="1" applyAlignment="1" applyProtection="1">
      <alignment horizontal="right" vertical="center"/>
      <protection locked="0"/>
    </xf>
    <xf numFmtId="2" fontId="0" fillId="11" borderId="33" xfId="0" applyNumberFormat="1" applyFont="1" applyFill="1" applyBorder="1" applyAlignment="1" applyProtection="1">
      <alignment horizontal="center" vertical="center"/>
      <protection locked="0"/>
    </xf>
    <xf numFmtId="0" fontId="0" fillId="11" borderId="68" xfId="0" applyFont="1" applyFill="1" applyBorder="1" applyAlignment="1" applyProtection="1">
      <alignment horizontal="center" vertical="center"/>
      <protection locked="0"/>
    </xf>
    <xf numFmtId="4" fontId="0" fillId="11" borderId="68" xfId="0" applyNumberFormat="1" applyFont="1" applyFill="1" applyBorder="1" applyAlignment="1" applyProtection="1">
      <alignment horizontal="center" vertical="center"/>
      <protection locked="0"/>
    </xf>
    <xf numFmtId="49" fontId="0" fillId="11" borderId="68" xfId="0" applyNumberFormat="1" applyFont="1" applyFill="1" applyBorder="1" applyAlignment="1" applyProtection="1">
      <alignment horizontal="center" vertical="center"/>
      <protection locked="0"/>
    </xf>
    <xf numFmtId="49" fontId="0" fillId="11" borderId="69" xfId="0" applyNumberFormat="1" applyFont="1" applyFill="1" applyBorder="1" applyAlignment="1" applyProtection="1">
      <alignment horizontal="center" vertical="center"/>
      <protection locked="0"/>
    </xf>
    <xf numFmtId="49" fontId="0" fillId="11" borderId="33" xfId="0" applyNumberFormat="1" applyFont="1" applyFill="1" applyBorder="1" applyAlignment="1" applyProtection="1">
      <alignment horizontal="center" vertical="center"/>
      <protection locked="0"/>
    </xf>
    <xf numFmtId="49" fontId="0" fillId="11" borderId="34" xfId="0" applyNumberFormat="1" applyFont="1" applyFill="1" applyBorder="1" applyAlignment="1" applyProtection="1">
      <alignment horizontal="center" vertical="center"/>
      <protection locked="0"/>
    </xf>
    <xf numFmtId="49" fontId="0" fillId="11" borderId="68" xfId="1" applyNumberFormat="1" applyFont="1" applyFill="1" applyBorder="1" applyAlignment="1" applyProtection="1">
      <alignment horizontal="center" vertical="center"/>
      <protection locked="0"/>
    </xf>
    <xf numFmtId="0" fontId="0" fillId="11" borderId="70" xfId="0" applyFont="1" applyFill="1" applyBorder="1" applyAlignment="1" applyProtection="1">
      <alignment horizontal="center" vertical="center"/>
      <protection locked="0"/>
    </xf>
    <xf numFmtId="4" fontId="0" fillId="11" borderId="70" xfId="0" applyNumberFormat="1" applyFont="1" applyFill="1" applyBorder="1" applyAlignment="1" applyProtection="1">
      <alignment horizontal="center" vertical="center"/>
      <protection locked="0"/>
    </xf>
    <xf numFmtId="49" fontId="0" fillId="11" borderId="70" xfId="1" applyNumberFormat="1" applyFont="1" applyFill="1" applyBorder="1" applyAlignment="1" applyProtection="1">
      <alignment horizontal="center" vertical="center"/>
      <protection locked="0"/>
    </xf>
    <xf numFmtId="172" fontId="0" fillId="3" borderId="70" xfId="22" applyNumberFormat="1" applyFont="1" applyFill="1" applyBorder="1" applyAlignment="1" applyProtection="1">
      <alignment horizontal="center" vertical="center"/>
      <protection locked="0"/>
    </xf>
    <xf numFmtId="172" fontId="0" fillId="11" borderId="70" xfId="0" applyNumberFormat="1" applyFont="1" applyFill="1" applyBorder="1" applyAlignment="1" applyProtection="1">
      <alignment vertical="center"/>
      <protection locked="0"/>
    </xf>
    <xf numFmtId="0" fontId="0" fillId="11" borderId="70" xfId="0" applyFont="1" applyFill="1" applyBorder="1" applyAlignment="1" applyProtection="1">
      <alignment horizontal="justify" vertical="center" wrapText="1"/>
      <protection locked="0"/>
    </xf>
    <xf numFmtId="4" fontId="0" fillId="11" borderId="71" xfId="0" applyNumberFormat="1" applyFont="1" applyFill="1" applyBorder="1" applyAlignment="1" applyProtection="1">
      <alignment horizontal="center" vertical="center"/>
      <protection locked="0"/>
    </xf>
    <xf numFmtId="4" fontId="0" fillId="3" borderId="70" xfId="22" applyNumberFormat="1" applyFont="1" applyFill="1" applyBorder="1" applyAlignment="1" applyProtection="1">
      <alignment horizontal="right" vertical="center" wrapText="1"/>
      <protection locked="0"/>
    </xf>
    <xf numFmtId="4" fontId="0" fillId="11" borderId="70" xfId="22" applyNumberFormat="1" applyFont="1" applyFill="1" applyBorder="1" applyAlignment="1" applyProtection="1">
      <alignment horizontal="center" vertical="center"/>
      <protection locked="0"/>
    </xf>
    <xf numFmtId="0" fontId="0" fillId="11" borderId="70" xfId="23" applyFont="1" applyFill="1" applyBorder="1" applyAlignment="1" applyProtection="1">
      <alignment horizontal="center" vertical="center"/>
      <protection locked="0"/>
    </xf>
    <xf numFmtId="4" fontId="0" fillId="3" borderId="70" xfId="22" applyNumberFormat="1" applyFont="1" applyFill="1" applyBorder="1" applyAlignment="1" applyProtection="1">
      <alignment horizontal="right" vertical="center"/>
      <protection locked="0"/>
    </xf>
    <xf numFmtId="4" fontId="11" fillId="3" borderId="70" xfId="22" applyNumberFormat="1" applyFont="1" applyFill="1" applyBorder="1" applyAlignment="1" applyProtection="1">
      <alignment horizontal="right" vertical="center"/>
      <protection locked="0"/>
    </xf>
    <xf numFmtId="4" fontId="0" fillId="3" borderId="72" xfId="22" applyNumberFormat="1" applyFont="1" applyFill="1" applyBorder="1" applyAlignment="1" applyProtection="1">
      <alignment horizontal="right" vertical="center"/>
      <protection locked="0"/>
    </xf>
    <xf numFmtId="0" fontId="0" fillId="11" borderId="5" xfId="0" applyFont="1" applyFill="1" applyBorder="1" applyAlignment="1" applyProtection="1">
      <alignment horizontal="center" vertical="center"/>
      <protection locked="0"/>
    </xf>
    <xf numFmtId="4" fontId="0" fillId="11" borderId="5" xfId="0" applyNumberFormat="1" applyFont="1" applyFill="1" applyBorder="1" applyAlignment="1" applyProtection="1">
      <alignment horizontal="center" vertical="center"/>
      <protection locked="0"/>
    </xf>
    <xf numFmtId="49" fontId="0" fillId="11" borderId="5" xfId="1" applyNumberFormat="1" applyFont="1" applyFill="1" applyBorder="1" applyAlignment="1" applyProtection="1">
      <alignment horizontal="center" vertical="center"/>
      <protection locked="0"/>
    </xf>
    <xf numFmtId="4" fontId="0" fillId="11" borderId="5" xfId="22" applyNumberFormat="1" applyFont="1" applyFill="1" applyBorder="1" applyAlignment="1" applyProtection="1">
      <alignment horizontal="center" vertical="center"/>
      <protection locked="0"/>
    </xf>
    <xf numFmtId="0" fontId="0" fillId="11" borderId="5" xfId="23" applyFont="1" applyFill="1" applyBorder="1" applyAlignment="1" applyProtection="1">
      <alignment horizontal="center" vertical="center"/>
      <protection locked="0"/>
    </xf>
    <xf numFmtId="4" fontId="0" fillId="3" borderId="5" xfId="22" applyNumberFormat="1" applyFont="1" applyFill="1" applyBorder="1" applyAlignment="1" applyProtection="1">
      <alignment horizontal="right" vertical="center"/>
      <protection locked="0"/>
    </xf>
    <xf numFmtId="4" fontId="0" fillId="3" borderId="25" xfId="22" applyNumberFormat="1" applyFont="1" applyFill="1" applyBorder="1" applyAlignment="1" applyProtection="1">
      <alignment horizontal="right" vertical="center"/>
      <protection locked="0"/>
    </xf>
    <xf numFmtId="0" fontId="0" fillId="11" borderId="67" xfId="0" applyFont="1" applyFill="1" applyBorder="1" applyAlignment="1" applyProtection="1">
      <alignment horizontal="center" vertical="center"/>
      <protection locked="0"/>
    </xf>
    <xf numFmtId="4" fontId="0" fillId="11" borderId="67" xfId="0" applyNumberFormat="1" applyFont="1" applyFill="1" applyBorder="1" applyAlignment="1" applyProtection="1">
      <alignment horizontal="center" vertical="center"/>
      <protection locked="0"/>
    </xf>
    <xf numFmtId="49" fontId="0" fillId="11" borderId="67" xfId="1" applyNumberFormat="1" applyFont="1" applyFill="1" applyBorder="1" applyAlignment="1" applyProtection="1">
      <alignment horizontal="center" vertical="center"/>
      <protection locked="0"/>
    </xf>
    <xf numFmtId="4" fontId="0" fillId="11" borderId="67" xfId="22" applyNumberFormat="1" applyFont="1" applyFill="1" applyBorder="1" applyAlignment="1" applyProtection="1">
      <alignment horizontal="center" vertical="center"/>
      <protection locked="0"/>
    </xf>
    <xf numFmtId="0" fontId="0" fillId="11" borderId="67" xfId="23" applyFont="1" applyFill="1" applyBorder="1" applyAlignment="1" applyProtection="1">
      <alignment horizontal="center" vertical="center"/>
      <protection locked="0"/>
    </xf>
    <xf numFmtId="4" fontId="0" fillId="3" borderId="67" xfId="22" applyNumberFormat="1" applyFont="1" applyFill="1" applyBorder="1" applyAlignment="1" applyProtection="1">
      <alignment horizontal="right" vertical="center"/>
      <protection locked="0"/>
    </xf>
    <xf numFmtId="4" fontId="0" fillId="3" borderId="73" xfId="22" applyNumberFormat="1" applyFont="1" applyFill="1" applyBorder="1" applyAlignment="1" applyProtection="1">
      <alignment horizontal="right" vertical="center"/>
      <protection locked="0"/>
    </xf>
    <xf numFmtId="0" fontId="0" fillId="11" borderId="74" xfId="22" applyFont="1" applyFill="1" applyBorder="1" applyAlignment="1" applyProtection="1">
      <alignment horizontal="center" vertical="center"/>
      <protection locked="0"/>
    </xf>
    <xf numFmtId="4" fontId="0" fillId="11" borderId="68" xfId="22" applyNumberFormat="1" applyFont="1" applyFill="1" applyBorder="1" applyAlignment="1" applyProtection="1">
      <alignment horizontal="center" vertical="center"/>
      <protection locked="0"/>
    </xf>
    <xf numFmtId="0" fontId="0" fillId="11" borderId="33" xfId="22" applyFont="1" applyFill="1" applyBorder="1" applyAlignment="1" applyProtection="1">
      <alignment horizontal="justify" vertical="center" wrapText="1"/>
      <protection locked="0"/>
    </xf>
    <xf numFmtId="4" fontId="0" fillId="11" borderId="75" xfId="22" applyNumberFormat="1" applyFont="1" applyFill="1" applyBorder="1" applyAlignment="1" applyProtection="1">
      <alignment horizontal="center" vertical="center"/>
      <protection locked="0"/>
    </xf>
    <xf numFmtId="0" fontId="23" fillId="0" borderId="26" xfId="22" applyFont="1" applyFill="1" applyBorder="1" applyAlignment="1" applyProtection="1"/>
    <xf numFmtId="0" fontId="23" fillId="0" borderId="27" xfId="22" applyFont="1" applyFill="1" applyBorder="1" applyAlignment="1" applyProtection="1">
      <alignment vertical="center" wrapText="1"/>
    </xf>
    <xf numFmtId="4" fontId="0" fillId="9" borderId="76" xfId="22" applyNumberFormat="1" applyFont="1" applyFill="1" applyBorder="1" applyAlignment="1" applyProtection="1">
      <alignment horizontal="center" vertical="center"/>
    </xf>
    <xf numFmtId="4" fontId="0" fillId="9" borderId="57" xfId="22" applyNumberFormat="1" applyFont="1" applyFill="1" applyBorder="1" applyAlignment="1" applyProtection="1">
      <alignment vertical="center"/>
    </xf>
    <xf numFmtId="4" fontId="0" fillId="9" borderId="77" xfId="22" applyNumberFormat="1" applyFont="1" applyFill="1" applyBorder="1" applyAlignment="1" applyProtection="1">
      <alignment vertical="center"/>
    </xf>
    <xf numFmtId="4" fontId="23" fillId="9" borderId="14" xfId="22" applyNumberFormat="1" applyFont="1" applyFill="1" applyBorder="1" applyAlignment="1" applyProtection="1">
      <alignment horizontal="right" vertical="center"/>
    </xf>
    <xf numFmtId="0" fontId="0" fillId="9" borderId="27" xfId="22" applyFont="1" applyFill="1" applyBorder="1" applyAlignment="1" applyProtection="1">
      <alignment vertical="center"/>
    </xf>
    <xf numFmtId="0" fontId="0" fillId="9" borderId="27" xfId="22" applyFont="1" applyFill="1" applyBorder="1" applyAlignment="1" applyProtection="1">
      <alignment horizontal="center" vertical="center"/>
    </xf>
    <xf numFmtId="4" fontId="0" fillId="9" borderId="29" xfId="22" applyNumberFormat="1" applyFont="1" applyFill="1" applyBorder="1" applyAlignment="1" applyProtection="1">
      <alignment horizontal="right" vertical="center"/>
    </xf>
    <xf numFmtId="165" fontId="23" fillId="9" borderId="18" xfId="31" applyNumberFormat="1" applyFont="1" applyFill="1" applyBorder="1" applyAlignment="1" applyProtection="1">
      <alignment horizontal="right" vertical="center"/>
    </xf>
    <xf numFmtId="165" fontId="23" fillId="9" borderId="60" xfId="31" applyNumberFormat="1" applyFont="1" applyFill="1" applyBorder="1" applyAlignment="1" applyProtection="1">
      <alignment horizontal="right" vertical="center"/>
    </xf>
    <xf numFmtId="165" fontId="23" fillId="9" borderId="17" xfId="31" applyNumberFormat="1" applyFont="1" applyFill="1" applyBorder="1" applyAlignment="1" applyProtection="1">
      <alignment horizontal="right" vertical="center"/>
    </xf>
    <xf numFmtId="0" fontId="0" fillId="11" borderId="43" xfId="22" applyFont="1" applyFill="1" applyBorder="1" applyAlignment="1" applyProtection="1">
      <alignment vertical="top"/>
      <protection locked="0"/>
    </xf>
    <xf numFmtId="0" fontId="0" fillId="11" borderId="0" xfId="22" applyFont="1" applyFill="1" applyBorder="1" applyAlignment="1" applyProtection="1">
      <alignment vertical="top"/>
      <protection locked="0"/>
    </xf>
    <xf numFmtId="4" fontId="0" fillId="9" borderId="74" xfId="22" applyNumberFormat="1" applyFont="1" applyFill="1" applyBorder="1" applyAlignment="1" applyProtection="1">
      <alignment horizontal="center" vertical="center"/>
    </xf>
    <xf numFmtId="4" fontId="0" fillId="9" borderId="33" xfId="22" applyNumberFormat="1" applyFont="1" applyFill="1" applyBorder="1" applyAlignment="1" applyProtection="1">
      <alignment vertical="center"/>
    </xf>
    <xf numFmtId="4" fontId="0" fillId="9" borderId="37" xfId="22" applyNumberFormat="1" applyFont="1" applyFill="1" applyBorder="1" applyAlignment="1" applyProtection="1">
      <alignment vertical="center"/>
    </xf>
    <xf numFmtId="4" fontId="0" fillId="9" borderId="43" xfId="22" applyNumberFormat="1" applyFont="1" applyFill="1" applyBorder="1" applyAlignment="1" applyProtection="1">
      <alignment vertical="center"/>
    </xf>
    <xf numFmtId="0" fontId="0" fillId="9" borderId="0" xfId="22" applyFont="1" applyFill="1" applyBorder="1" applyAlignment="1" applyProtection="1">
      <alignment vertical="center"/>
    </xf>
    <xf numFmtId="0" fontId="0" fillId="9" borderId="0" xfId="22" applyFont="1" applyFill="1" applyBorder="1" applyAlignment="1" applyProtection="1">
      <alignment horizontal="center" vertical="center"/>
    </xf>
    <xf numFmtId="4" fontId="0" fillId="9" borderId="0" xfId="22" applyNumberFormat="1" applyFont="1" applyFill="1" applyBorder="1" applyAlignment="1" applyProtection="1">
      <alignment horizontal="right" vertical="center"/>
    </xf>
    <xf numFmtId="173" fontId="0" fillId="9" borderId="0" xfId="22" applyNumberFormat="1" applyFont="1" applyFill="1" applyBorder="1" applyAlignment="1" applyProtection="1">
      <alignment vertical="center"/>
    </xf>
    <xf numFmtId="165" fontId="0" fillId="9" borderId="0" xfId="31" applyNumberFormat="1" applyFont="1" applyFill="1" applyBorder="1" applyAlignment="1" applyProtection="1">
      <alignment vertical="center"/>
    </xf>
    <xf numFmtId="165" fontId="0" fillId="9" borderId="29" xfId="31" applyNumberFormat="1" applyFont="1" applyFill="1" applyBorder="1" applyAlignment="1" applyProtection="1">
      <alignment vertical="center"/>
    </xf>
    <xf numFmtId="0" fontId="0" fillId="11" borderId="56" xfId="22" applyFont="1" applyFill="1" applyBorder="1" applyAlignment="1" applyProtection="1">
      <alignment vertical="top"/>
      <protection locked="0"/>
    </xf>
    <xf numFmtId="165" fontId="0" fillId="9" borderId="56" xfId="31" applyNumberFormat="1" applyFont="1" applyFill="1" applyBorder="1" applyAlignment="1" applyProtection="1">
      <alignment vertical="center"/>
    </xf>
    <xf numFmtId="0" fontId="34" fillId="9" borderId="0" xfId="22" applyFont="1" applyFill="1" applyBorder="1" applyAlignment="1" applyProtection="1">
      <alignment vertical="center"/>
    </xf>
    <xf numFmtId="0" fontId="0" fillId="9" borderId="76" xfId="22" applyFont="1" applyFill="1" applyBorder="1" applyAlignment="1" applyProtection="1">
      <alignment horizontal="center" vertical="center"/>
    </xf>
    <xf numFmtId="4" fontId="0" fillId="9" borderId="77" xfId="22" applyNumberFormat="1" applyFont="1" applyFill="1" applyBorder="1" applyAlignment="1" applyProtection="1">
      <alignment horizontal="right" vertical="center"/>
    </xf>
    <xf numFmtId="0" fontId="0" fillId="9" borderId="74" xfId="22" applyFont="1" applyFill="1" applyBorder="1" applyAlignment="1" applyProtection="1">
      <alignment horizontal="center" vertical="center"/>
    </xf>
    <xf numFmtId="4" fontId="0" fillId="9" borderId="37" xfId="31" applyNumberFormat="1" applyFont="1" applyFill="1" applyBorder="1" applyAlignment="1" applyProtection="1">
      <alignment horizontal="right" vertical="center"/>
    </xf>
    <xf numFmtId="0" fontId="0" fillId="9" borderId="45" xfId="22" applyFont="1" applyFill="1" applyBorder="1" applyAlignment="1" applyProtection="1">
      <alignment vertical="top"/>
    </xf>
    <xf numFmtId="0" fontId="0" fillId="9" borderId="46" xfId="22" applyFont="1" applyFill="1" applyBorder="1" applyAlignment="1" applyProtection="1">
      <alignment vertical="top"/>
    </xf>
    <xf numFmtId="0" fontId="0" fillId="9" borderId="80" xfId="22" applyFont="1" applyFill="1" applyBorder="1" applyAlignment="1" applyProtection="1">
      <alignment vertical="top"/>
    </xf>
    <xf numFmtId="0" fontId="0" fillId="9" borderId="0" xfId="22" applyFont="1" applyFill="1" applyBorder="1" applyAlignment="1" applyProtection="1">
      <alignment vertical="top"/>
    </xf>
    <xf numFmtId="4" fontId="0" fillId="9" borderId="81" xfId="22" applyNumberFormat="1" applyFont="1" applyFill="1" applyBorder="1" applyAlignment="1" applyProtection="1">
      <alignment vertical="center"/>
    </xf>
    <xf numFmtId="0" fontId="35" fillId="9" borderId="0" xfId="22" applyFont="1" applyFill="1" applyBorder="1" applyAlignment="1" applyProtection="1">
      <alignment vertical="center"/>
    </xf>
    <xf numFmtId="0" fontId="28" fillId="9" borderId="0" xfId="22" applyFont="1" applyFill="1" applyBorder="1" applyAlignment="1" applyProtection="1">
      <alignment horizontal="center" vertical="center"/>
    </xf>
    <xf numFmtId="0" fontId="16" fillId="9" borderId="0" xfId="22" applyFont="1" applyFill="1" applyBorder="1" applyAlignment="1" applyProtection="1">
      <alignment vertical="center"/>
    </xf>
    <xf numFmtId="0" fontId="0" fillId="9" borderId="20" xfId="22" applyFont="1" applyFill="1" applyBorder="1" applyAlignment="1" applyProtection="1">
      <alignment vertical="center"/>
    </xf>
    <xf numFmtId="0" fontId="0" fillId="9" borderId="22" xfId="22" applyFont="1" applyFill="1" applyBorder="1" applyAlignment="1" applyProtection="1">
      <alignment vertical="center"/>
    </xf>
    <xf numFmtId="0" fontId="23" fillId="0" borderId="22" xfId="22" applyFont="1" applyFill="1" applyBorder="1" applyAlignment="1" applyProtection="1">
      <alignment horizontal="right" vertical="center"/>
    </xf>
    <xf numFmtId="165" fontId="23" fillId="11" borderId="22" xfId="1" applyFont="1" applyFill="1" applyBorder="1" applyAlignment="1" applyProtection="1">
      <alignment vertical="center"/>
      <protection locked="0"/>
    </xf>
    <xf numFmtId="0" fontId="36" fillId="9" borderId="23" xfId="22" applyFont="1" applyFill="1" applyBorder="1" applyAlignment="1" applyProtection="1">
      <alignment horizontal="center" vertical="center"/>
    </xf>
    <xf numFmtId="0" fontId="0" fillId="9" borderId="82" xfId="22" applyFont="1" applyFill="1" applyBorder="1" applyAlignment="1" applyProtection="1">
      <alignment horizontal="center" vertical="center"/>
    </xf>
    <xf numFmtId="4" fontId="0" fillId="9" borderId="83" xfId="31" applyNumberFormat="1" applyFont="1" applyFill="1" applyBorder="1" applyAlignment="1" applyProtection="1">
      <alignment horizontal="right" vertical="center"/>
    </xf>
    <xf numFmtId="0" fontId="0" fillId="9" borderId="39" xfId="22" applyFont="1" applyFill="1" applyBorder="1" applyAlignment="1" applyProtection="1">
      <alignment vertical="center"/>
    </xf>
    <xf numFmtId="0" fontId="0" fillId="9" borderId="4" xfId="22" applyFont="1" applyFill="1" applyBorder="1" applyAlignment="1" applyProtection="1">
      <alignment vertical="center"/>
    </xf>
    <xf numFmtId="0" fontId="23" fillId="0" borderId="4" xfId="22" applyFont="1" applyFill="1" applyBorder="1" applyAlignment="1" applyProtection="1">
      <alignment horizontal="right" vertical="center"/>
    </xf>
    <xf numFmtId="165" fontId="23" fillId="11" borderId="4" xfId="1" applyFont="1" applyFill="1" applyBorder="1" applyAlignment="1" applyProtection="1">
      <alignment vertical="center"/>
      <protection locked="0"/>
    </xf>
    <xf numFmtId="0" fontId="36" fillId="9" borderId="40" xfId="22" applyFont="1" applyFill="1" applyBorder="1" applyAlignment="1" applyProtection="1">
      <alignment horizontal="center" vertical="center"/>
    </xf>
    <xf numFmtId="4" fontId="0" fillId="9" borderId="0" xfId="31" applyNumberFormat="1" applyFont="1" applyFill="1" applyBorder="1" applyAlignment="1" applyProtection="1">
      <alignment horizontal="right" vertical="center"/>
    </xf>
    <xf numFmtId="0" fontId="0" fillId="9" borderId="49" xfId="22" applyFont="1" applyFill="1" applyBorder="1" applyAlignment="1" applyProtection="1">
      <alignment vertical="center"/>
    </xf>
    <xf numFmtId="0" fontId="0" fillId="9" borderId="47" xfId="22" applyFont="1" applyFill="1" applyBorder="1" applyAlignment="1" applyProtection="1">
      <alignment vertical="center"/>
    </xf>
    <xf numFmtId="0" fontId="23" fillId="0" borderId="46" xfId="22" applyFont="1" applyFill="1" applyBorder="1" applyAlignment="1" applyProtection="1">
      <alignment horizontal="right" vertical="center"/>
    </xf>
    <xf numFmtId="165" fontId="23" fillId="11" borderId="47" xfId="1" applyFont="1" applyFill="1" applyBorder="1" applyAlignment="1" applyProtection="1">
      <alignment vertical="center"/>
      <protection locked="0"/>
    </xf>
    <xf numFmtId="0" fontId="36" fillId="9" borderId="48" xfId="22" applyFont="1" applyFill="1" applyBorder="1" applyAlignment="1" applyProtection="1">
      <alignment horizontal="center" vertical="center"/>
    </xf>
    <xf numFmtId="0" fontId="35" fillId="9" borderId="0" xfId="22" applyFont="1" applyFill="1" applyBorder="1" applyAlignment="1" applyProtection="1">
      <alignment horizontal="center" vertical="center"/>
    </xf>
    <xf numFmtId="4" fontId="0" fillId="9" borderId="84" xfId="22" applyNumberFormat="1" applyFont="1" applyFill="1" applyBorder="1" applyAlignment="1" applyProtection="1">
      <alignment horizontal="center" vertical="center"/>
    </xf>
    <xf numFmtId="0" fontId="23" fillId="9" borderId="22" xfId="22" applyFont="1" applyFill="1" applyBorder="1" applyAlignment="1" applyProtection="1">
      <alignment horizontal="right" vertical="center"/>
    </xf>
    <xf numFmtId="165" fontId="23" fillId="0" borderId="22" xfId="1" applyFont="1" applyFill="1" applyBorder="1" applyAlignment="1" applyProtection="1">
      <alignment horizontal="center" vertical="center"/>
    </xf>
    <xf numFmtId="0" fontId="23" fillId="9" borderId="23" xfId="22" applyFont="1" applyFill="1" applyBorder="1" applyAlignment="1" applyProtection="1">
      <alignment horizontal="left" vertical="center"/>
    </xf>
    <xf numFmtId="0" fontId="23" fillId="9" borderId="4" xfId="22" applyFont="1" applyFill="1" applyBorder="1" applyAlignment="1" applyProtection="1">
      <alignment horizontal="right" vertical="center"/>
    </xf>
    <xf numFmtId="0" fontId="23" fillId="9" borderId="40" xfId="22" applyFont="1" applyFill="1" applyBorder="1" applyAlignment="1" applyProtection="1">
      <alignment horizontal="left" vertical="center"/>
    </xf>
    <xf numFmtId="4" fontId="0" fillId="9" borderId="82" xfId="22" applyNumberFormat="1" applyFont="1" applyFill="1" applyBorder="1" applyAlignment="1" applyProtection="1">
      <alignment horizontal="center" vertical="center"/>
    </xf>
    <xf numFmtId="4" fontId="0" fillId="9" borderId="75" xfId="22" applyNumberFormat="1" applyFont="1" applyFill="1" applyBorder="1" applyAlignment="1" applyProtection="1">
      <alignment vertical="center"/>
    </xf>
    <xf numFmtId="4" fontId="0" fillId="9" borderId="83" xfId="22" applyNumberFormat="1" applyFont="1" applyFill="1" applyBorder="1" applyAlignment="1" applyProtection="1">
      <alignment vertical="center"/>
    </xf>
    <xf numFmtId="4" fontId="0" fillId="9" borderId="45" xfId="22" applyNumberFormat="1" applyFont="1" applyFill="1" applyBorder="1" applyAlignment="1" applyProtection="1">
      <alignment vertical="center"/>
    </xf>
    <xf numFmtId="0" fontId="0" fillId="9" borderId="46" xfId="22" applyFont="1" applyFill="1" applyBorder="1" applyAlignment="1" applyProtection="1">
      <alignment vertical="center"/>
    </xf>
    <xf numFmtId="0" fontId="0" fillId="9" borderId="46" xfId="22" applyFont="1" applyFill="1" applyBorder="1" applyAlignment="1" applyProtection="1">
      <alignment horizontal="center" vertical="center"/>
    </xf>
    <xf numFmtId="173" fontId="0" fillId="9" borderId="46" xfId="31" applyNumberFormat="1" applyFont="1" applyFill="1" applyBorder="1" applyAlignment="1" applyProtection="1">
      <alignment horizontal="center" vertical="center"/>
    </xf>
    <xf numFmtId="173" fontId="0" fillId="9" borderId="46" xfId="22" applyNumberFormat="1" applyFont="1" applyFill="1" applyBorder="1" applyAlignment="1" applyProtection="1">
      <alignment vertical="center"/>
    </xf>
    <xf numFmtId="165" fontId="0" fillId="9" borderId="46" xfId="31" applyNumberFormat="1" applyFont="1" applyFill="1" applyBorder="1" applyAlignment="1" applyProtection="1">
      <alignment vertical="center"/>
    </xf>
    <xf numFmtId="165" fontId="0" fillId="9" borderId="80" xfId="31" applyNumberFormat="1" applyFont="1" applyFill="1" applyBorder="1" applyAlignment="1" applyProtection="1">
      <alignment vertical="center"/>
    </xf>
    <xf numFmtId="174" fontId="23" fillId="0" borderId="4" xfId="1" applyNumberFormat="1" applyFont="1" applyFill="1" applyBorder="1" applyAlignment="1" applyProtection="1">
      <alignment vertical="center"/>
    </xf>
    <xf numFmtId="0" fontId="0" fillId="9" borderId="0" xfId="22" applyFont="1" applyFill="1" applyAlignment="1" applyProtection="1">
      <alignment vertical="center"/>
    </xf>
    <xf numFmtId="165" fontId="23" fillId="0" borderId="4" xfId="1" applyNumberFormat="1" applyFont="1" applyFill="1" applyBorder="1" applyAlignment="1" applyProtection="1">
      <alignment vertical="center"/>
    </xf>
    <xf numFmtId="0" fontId="16" fillId="9" borderId="0" xfId="22" applyFont="1" applyFill="1" applyAlignment="1" applyProtection="1"/>
    <xf numFmtId="0" fontId="23" fillId="9" borderId="47" xfId="22" applyFont="1" applyFill="1" applyBorder="1" applyAlignment="1" applyProtection="1">
      <alignment horizontal="right" vertical="center"/>
    </xf>
    <xf numFmtId="1" fontId="23" fillId="11" borderId="47" xfId="22" applyNumberFormat="1" applyFont="1" applyFill="1" applyBorder="1" applyAlignment="1" applyProtection="1">
      <alignment horizontal="center" vertical="center"/>
      <protection locked="0"/>
    </xf>
    <xf numFmtId="2" fontId="38" fillId="9" borderId="48" xfId="22" applyNumberFormat="1" applyFont="1" applyFill="1" applyBorder="1" applyAlignment="1" applyProtection="1">
      <alignment horizontal="left" vertical="center"/>
    </xf>
    <xf numFmtId="0" fontId="0" fillId="9" borderId="50" xfId="22" applyFont="1" applyFill="1" applyBorder="1" applyAlignment="1" applyProtection="1">
      <alignment vertical="center"/>
    </xf>
    <xf numFmtId="0" fontId="0" fillId="9" borderId="51" xfId="22" applyFont="1" applyFill="1" applyBorder="1" applyAlignment="1" applyProtection="1">
      <alignment vertical="center"/>
    </xf>
    <xf numFmtId="0" fontId="23" fillId="9" borderId="51" xfId="22" applyFont="1" applyFill="1" applyBorder="1" applyAlignment="1" applyProtection="1">
      <alignment horizontal="right" vertical="center"/>
    </xf>
    <xf numFmtId="173" fontId="23" fillId="11" borderId="51" xfId="1" applyNumberFormat="1" applyFont="1" applyFill="1" applyBorder="1" applyAlignment="1" applyProtection="1">
      <alignment vertical="center"/>
      <protection locked="0"/>
    </xf>
    <xf numFmtId="0" fontId="23" fillId="0" borderId="28" xfId="22" applyFont="1" applyFill="1" applyBorder="1" applyAlignment="1" applyProtection="1">
      <alignment vertical="center"/>
    </xf>
    <xf numFmtId="0" fontId="39" fillId="9" borderId="43" xfId="22" applyFont="1" applyFill="1" applyBorder="1" applyAlignment="1" applyProtection="1">
      <alignment vertical="center" wrapText="1"/>
    </xf>
    <xf numFmtId="0" fontId="39" fillId="9" borderId="0" xfId="22" applyFont="1" applyFill="1" applyBorder="1" applyAlignment="1" applyProtection="1">
      <alignment vertical="center" wrapText="1"/>
    </xf>
    <xf numFmtId="0" fontId="23" fillId="9" borderId="50" xfId="22" applyFont="1" applyFill="1" applyBorder="1" applyAlignment="1" applyProtection="1">
      <alignment horizontal="left" vertical="center"/>
    </xf>
    <xf numFmtId="175" fontId="23" fillId="9" borderId="51" xfId="1" applyNumberFormat="1" applyFont="1" applyFill="1" applyBorder="1" applyAlignment="1" applyProtection="1">
      <alignment vertical="center"/>
    </xf>
    <xf numFmtId="176" fontId="23" fillId="9" borderId="51" xfId="1" applyNumberFormat="1" applyFont="1" applyFill="1" applyBorder="1" applyAlignment="1" applyProtection="1">
      <alignment horizontal="left" vertical="center" indent="2"/>
    </xf>
    <xf numFmtId="0" fontId="23" fillId="9" borderId="28" xfId="22" applyFont="1" applyFill="1" applyBorder="1" applyAlignment="1" applyProtection="1">
      <alignment vertical="center"/>
    </xf>
    <xf numFmtId="0" fontId="16" fillId="9" borderId="0" xfId="22" applyFont="1" applyFill="1" applyAlignment="1" applyProtection="1">
      <alignment vertical="center"/>
    </xf>
    <xf numFmtId="0" fontId="35" fillId="9" borderId="0" xfId="22" applyFont="1" applyFill="1" applyAlignment="1" applyProtection="1">
      <alignment vertical="center"/>
    </xf>
    <xf numFmtId="0" fontId="23" fillId="9" borderId="0" xfId="22" applyFont="1" applyFill="1" applyAlignment="1" applyProtection="1">
      <alignment vertical="center"/>
    </xf>
    <xf numFmtId="0" fontId="23" fillId="9" borderId="0" xfId="22" applyFont="1" applyFill="1" applyAlignment="1" applyProtection="1">
      <alignment horizontal="center"/>
    </xf>
    <xf numFmtId="9" fontId="23" fillId="11" borderId="22" xfId="2" applyFont="1" applyFill="1" applyBorder="1" applyAlignment="1" applyProtection="1">
      <alignment vertical="center"/>
      <protection locked="0"/>
    </xf>
    <xf numFmtId="10" fontId="24" fillId="9" borderId="22" xfId="23" applyNumberFormat="1" applyFont="1" applyFill="1" applyBorder="1" applyAlignment="1" applyProtection="1">
      <alignment horizontal="left"/>
    </xf>
    <xf numFmtId="0" fontId="28" fillId="9" borderId="23" xfId="22" applyFont="1" applyFill="1" applyBorder="1" applyAlignment="1" applyProtection="1">
      <alignment horizontal="center" vertical="center"/>
    </xf>
    <xf numFmtId="165" fontId="23" fillId="0" borderId="4" xfId="1" applyFont="1" applyFill="1" applyBorder="1" applyAlignment="1" applyProtection="1">
      <alignment vertical="center"/>
    </xf>
    <xf numFmtId="10" fontId="24" fillId="9" borderId="4" xfId="23" applyNumberFormat="1" applyFont="1" applyFill="1" applyBorder="1" applyAlignment="1" applyProtection="1">
      <alignment horizontal="left"/>
    </xf>
    <xf numFmtId="0" fontId="28" fillId="9" borderId="40" xfId="22" applyFont="1" applyFill="1" applyBorder="1" applyAlignment="1" applyProtection="1">
      <alignment horizontal="center" vertical="center"/>
    </xf>
    <xf numFmtId="0" fontId="28" fillId="0" borderId="0" xfId="22" applyFont="1" applyFill="1" applyBorder="1" applyAlignment="1" applyProtection="1">
      <alignment horizontal="center" vertical="center"/>
    </xf>
    <xf numFmtId="4" fontId="23" fillId="9" borderId="4" xfId="22" applyNumberFormat="1" applyFont="1" applyFill="1" applyBorder="1" applyAlignment="1" applyProtection="1">
      <alignment horizontal="left"/>
    </xf>
    <xf numFmtId="0" fontId="0" fillId="9" borderId="43" xfId="22" applyFont="1" applyFill="1" applyBorder="1" applyAlignment="1" applyProtection="1">
      <alignment vertical="center"/>
    </xf>
    <xf numFmtId="0" fontId="36" fillId="9" borderId="47" xfId="22" applyFont="1" applyFill="1" applyBorder="1" applyAlignment="1" applyProtection="1">
      <alignment horizontal="left" vertical="center"/>
    </xf>
    <xf numFmtId="0" fontId="28" fillId="9" borderId="48" xfId="22" applyFont="1" applyFill="1" applyBorder="1" applyAlignment="1" applyProtection="1">
      <alignment horizontal="center" vertical="center"/>
    </xf>
    <xf numFmtId="0" fontId="23" fillId="9" borderId="0" xfId="22" applyFont="1" applyFill="1" applyBorder="1" applyAlignment="1" applyProtection="1">
      <alignment horizontal="left" vertical="center"/>
    </xf>
    <xf numFmtId="175" fontId="23" fillId="9" borderId="0" xfId="1" applyNumberFormat="1" applyFont="1" applyFill="1" applyBorder="1" applyAlignment="1" applyProtection="1">
      <alignment vertical="center"/>
    </xf>
    <xf numFmtId="176" fontId="23" fillId="9" borderId="0" xfId="1" applyNumberFormat="1" applyFont="1" applyFill="1" applyBorder="1" applyAlignment="1" applyProtection="1">
      <alignment horizontal="left" vertical="center" indent="2"/>
    </xf>
    <xf numFmtId="0" fontId="23" fillId="9" borderId="0" xfId="22" applyFont="1" applyFill="1" applyBorder="1" applyAlignment="1" applyProtection="1">
      <alignment vertical="center"/>
    </xf>
    <xf numFmtId="0" fontId="36" fillId="9" borderId="0" xfId="22" applyFont="1" applyFill="1" applyBorder="1" applyAlignment="1" applyProtection="1">
      <alignment horizontal="left" vertical="center"/>
    </xf>
    <xf numFmtId="165" fontId="28" fillId="9" borderId="0" xfId="1" applyFont="1" applyFill="1" applyBorder="1" applyAlignment="1" applyProtection="1">
      <alignment horizontal="left" vertical="center"/>
    </xf>
    <xf numFmtId="0" fontId="28" fillId="9" borderId="0" xfId="22" applyFont="1" applyFill="1" applyBorder="1" applyAlignment="1" applyProtection="1">
      <alignment horizontal="left" vertical="center"/>
    </xf>
    <xf numFmtId="0" fontId="36" fillId="9" borderId="0" xfId="22" applyFont="1" applyFill="1" applyBorder="1" applyAlignment="1" applyProtection="1">
      <alignment horizontal="center" vertical="center"/>
    </xf>
    <xf numFmtId="0" fontId="23" fillId="9" borderId="0" xfId="22" applyFont="1" applyFill="1" applyBorder="1" applyAlignment="1" applyProtection="1">
      <alignment horizontal="center" vertical="center"/>
    </xf>
    <xf numFmtId="0" fontId="28" fillId="9" borderId="0" xfId="22" applyFont="1" applyFill="1" applyBorder="1" applyAlignment="1" applyProtection="1">
      <alignment horizontal="center" vertical="top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16" fillId="9" borderId="0" xfId="0" applyFont="1" applyFill="1" applyBorder="1" applyAlignment="1" applyProtection="1">
      <alignment vertical="center"/>
    </xf>
    <xf numFmtId="0" fontId="39" fillId="9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0" fillId="9" borderId="0" xfId="0" applyFont="1" applyFill="1" applyBorder="1" applyProtection="1"/>
    <xf numFmtId="0" fontId="41" fillId="9" borderId="0" xfId="0" applyFont="1" applyFill="1" applyBorder="1" applyProtection="1"/>
    <xf numFmtId="178" fontId="16" fillId="9" borderId="0" xfId="0" applyNumberFormat="1" applyFont="1" applyFill="1" applyBorder="1" applyAlignment="1" applyProtection="1">
      <alignment vertical="center"/>
    </xf>
    <xf numFmtId="0" fontId="29" fillId="0" borderId="0" xfId="0" applyFont="1" applyProtection="1"/>
    <xf numFmtId="0" fontId="17" fillId="9" borderId="91" xfId="0" applyFont="1" applyFill="1" applyBorder="1" applyAlignment="1" applyProtection="1">
      <alignment horizontal="center" vertical="center" wrapText="1"/>
    </xf>
    <xf numFmtId="164" fontId="17" fillId="9" borderId="92" xfId="2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9" fillId="9" borderId="93" xfId="0" applyFont="1" applyFill="1" applyBorder="1" applyAlignment="1" applyProtection="1">
      <alignment horizontal="center" vertical="center" wrapText="1"/>
    </xf>
    <xf numFmtId="0" fontId="39" fillId="9" borderId="94" xfId="0" applyFont="1" applyFill="1" applyBorder="1" applyAlignment="1" applyProtection="1">
      <alignment horizontal="center" vertical="center" wrapText="1"/>
    </xf>
    <xf numFmtId="0" fontId="42" fillId="9" borderId="94" xfId="0" applyFont="1" applyFill="1" applyBorder="1" applyAlignment="1" applyProtection="1">
      <alignment horizontal="center" vertical="center" wrapText="1"/>
    </xf>
    <xf numFmtId="0" fontId="43" fillId="9" borderId="94" xfId="0" applyFont="1" applyFill="1" applyBorder="1" applyAlignment="1" applyProtection="1">
      <alignment horizontal="center" vertical="center" wrapText="1"/>
    </xf>
    <xf numFmtId="0" fontId="23" fillId="9" borderId="94" xfId="0" applyFont="1" applyFill="1" applyBorder="1" applyAlignment="1" applyProtection="1">
      <alignment horizontal="center" vertical="center" wrapText="1"/>
    </xf>
    <xf numFmtId="0" fontId="23" fillId="9" borderId="9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7" fillId="3" borderId="96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vertical="center"/>
    </xf>
    <xf numFmtId="0" fontId="44" fillId="3" borderId="4" xfId="0" applyFont="1" applyFill="1" applyBorder="1" applyAlignment="1" applyProtection="1">
      <alignment horizontal="center" vertical="center"/>
    </xf>
    <xf numFmtId="2" fontId="44" fillId="3" borderId="4" xfId="0" applyNumberFormat="1" applyFont="1" applyFill="1" applyBorder="1" applyAlignment="1" applyProtection="1">
      <alignment horizontal="center" vertical="center" wrapText="1"/>
    </xf>
    <xf numFmtId="4" fontId="44" fillId="3" borderId="97" xfId="1" applyNumberFormat="1" applyFont="1" applyFill="1" applyBorder="1" applyAlignment="1" applyProtection="1">
      <alignment horizontal="right" vertical="center" wrapText="1"/>
    </xf>
    <xf numFmtId="4" fontId="17" fillId="3" borderId="98" xfId="1" applyNumberFormat="1" applyFont="1" applyFill="1" applyBorder="1" applyAlignment="1" applyProtection="1">
      <alignment horizontal="right" vertical="center" wrapText="1"/>
    </xf>
    <xf numFmtId="0" fontId="45" fillId="0" borderId="0" xfId="0" applyFont="1" applyProtection="1"/>
    <xf numFmtId="0" fontId="28" fillId="0" borderId="0" xfId="0" applyFont="1" applyProtection="1"/>
    <xf numFmtId="0" fontId="0" fillId="9" borderId="99" xfId="0" applyFont="1" applyFill="1" applyBorder="1" applyAlignment="1" applyProtection="1">
      <alignment horizontal="center" vertical="center"/>
    </xf>
    <xf numFmtId="2" fontId="0" fillId="9" borderId="100" xfId="0" applyNumberFormat="1" applyFont="1" applyFill="1" applyBorder="1" applyAlignment="1" applyProtection="1">
      <alignment vertical="center"/>
    </xf>
    <xf numFmtId="0" fontId="0" fillId="9" borderId="100" xfId="0" applyFont="1" applyFill="1" applyBorder="1" applyAlignment="1" applyProtection="1">
      <alignment vertical="center"/>
    </xf>
    <xf numFmtId="0" fontId="0" fillId="9" borderId="101" xfId="0" applyFont="1" applyFill="1" applyBorder="1" applyAlignment="1" applyProtection="1">
      <alignment horizontal="center" vertical="center"/>
    </xf>
    <xf numFmtId="4" fontId="0" fillId="11" borderId="102" xfId="1" applyNumberFormat="1" applyFont="1" applyFill="1" applyBorder="1" applyAlignment="1" applyProtection="1">
      <alignment horizontal="right" vertical="center" wrapText="1"/>
      <protection locked="0"/>
    </xf>
    <xf numFmtId="165" fontId="0" fillId="9" borderId="101" xfId="1" applyFont="1" applyFill="1" applyBorder="1" applyAlignment="1" applyProtection="1">
      <alignment horizontal="right" vertical="center" wrapText="1"/>
    </xf>
    <xf numFmtId="4" fontId="0" fillId="9" borderId="101" xfId="1" applyNumberFormat="1" applyFont="1" applyFill="1" applyBorder="1" applyAlignment="1" applyProtection="1">
      <alignment horizontal="right" vertical="center" wrapText="1"/>
    </xf>
    <xf numFmtId="2" fontId="0" fillId="9" borderId="103" xfId="0" applyNumberFormat="1" applyFont="1" applyFill="1" applyBorder="1" applyAlignment="1" applyProtection="1">
      <alignment vertical="center"/>
    </xf>
    <xf numFmtId="0" fontId="0" fillId="9" borderId="102" xfId="0" applyFont="1" applyFill="1" applyBorder="1" applyAlignment="1" applyProtection="1">
      <alignment horizontal="center" vertical="center"/>
    </xf>
    <xf numFmtId="165" fontId="0" fillId="9" borderId="104" xfId="1" applyFont="1" applyFill="1" applyBorder="1" applyAlignment="1" applyProtection="1">
      <alignment horizontal="right" vertical="center" wrapText="1"/>
    </xf>
    <xf numFmtId="4" fontId="0" fillId="9" borderId="102" xfId="1" applyNumberFormat="1" applyFont="1" applyFill="1" applyBorder="1" applyAlignment="1" applyProtection="1">
      <alignment horizontal="right" vertical="center" wrapText="1"/>
    </xf>
    <xf numFmtId="0" fontId="0" fillId="9" borderId="104" xfId="0" applyFont="1" applyFill="1" applyBorder="1" applyAlignment="1" applyProtection="1">
      <alignment horizontal="center" vertical="center"/>
    </xf>
    <xf numFmtId="0" fontId="0" fillId="9" borderId="103" xfId="0" applyFont="1" applyFill="1" applyBorder="1" applyAlignment="1" applyProtection="1">
      <alignment vertical="center"/>
    </xf>
    <xf numFmtId="0" fontId="0" fillId="9" borderId="105" xfId="0" applyFont="1" applyFill="1" applyBorder="1" applyAlignment="1" applyProtection="1">
      <alignment vertical="center"/>
    </xf>
    <xf numFmtId="0" fontId="39" fillId="9" borderId="106" xfId="0" applyFont="1" applyFill="1" applyBorder="1" applyAlignment="1" applyProtection="1">
      <alignment horizontal="center" vertical="center" wrapText="1"/>
    </xf>
    <xf numFmtId="2" fontId="39" fillId="9" borderId="107" xfId="0" applyNumberFormat="1" applyFont="1" applyFill="1" applyBorder="1" applyAlignment="1" applyProtection="1">
      <alignment horizontal="center" vertical="center" wrapText="1"/>
    </xf>
    <xf numFmtId="0" fontId="42" fillId="9" borderId="107" xfId="0" applyFont="1" applyFill="1" applyBorder="1" applyAlignment="1" applyProtection="1">
      <alignment horizontal="center" vertical="center" wrapText="1"/>
    </xf>
    <xf numFmtId="0" fontId="43" fillId="9" borderId="107" xfId="0" applyFont="1" applyFill="1" applyBorder="1" applyAlignment="1" applyProtection="1">
      <alignment horizontal="center" vertical="center" wrapText="1"/>
    </xf>
    <xf numFmtId="0" fontId="23" fillId="9" borderId="107" xfId="0" applyFont="1" applyFill="1" applyBorder="1" applyAlignment="1" applyProtection="1">
      <alignment horizontal="center" vertical="center" wrapText="1"/>
    </xf>
    <xf numFmtId="0" fontId="23" fillId="9" borderId="108" xfId="0" applyFont="1" applyFill="1" applyBorder="1" applyAlignment="1" applyProtection="1">
      <alignment horizontal="center" vertical="center" wrapText="1"/>
    </xf>
    <xf numFmtId="4" fontId="0" fillId="9" borderId="104" xfId="1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Protection="1"/>
    <xf numFmtId="0" fontId="0" fillId="9" borderId="109" xfId="0" applyFont="1" applyFill="1" applyBorder="1" applyAlignment="1" applyProtection="1">
      <alignment horizontal="center" vertical="center"/>
    </xf>
    <xf numFmtId="2" fontId="0" fillId="9" borderId="103" xfId="0" applyNumberFormat="1" applyFont="1" applyFill="1" applyBorder="1" applyAlignment="1" applyProtection="1">
      <alignment horizontal="left" vertical="center"/>
    </xf>
    <xf numFmtId="169" fontId="0" fillId="9" borderId="105" xfId="0" applyNumberFormat="1" applyFont="1" applyFill="1" applyBorder="1" applyAlignment="1" applyProtection="1">
      <alignment vertical="center" wrapText="1"/>
    </xf>
    <xf numFmtId="0" fontId="0" fillId="9" borderId="87" xfId="0" applyFont="1" applyFill="1" applyBorder="1" applyAlignment="1" applyProtection="1">
      <alignment horizontal="center" vertical="center"/>
    </xf>
    <xf numFmtId="4" fontId="0" fillId="9" borderId="103" xfId="0" applyNumberFormat="1" applyFont="1" applyFill="1" applyBorder="1" applyAlignment="1" applyProtection="1">
      <alignment horizontal="left" vertical="center"/>
    </xf>
    <xf numFmtId="165" fontId="0" fillId="9" borderId="103" xfId="1" applyFont="1" applyFill="1" applyBorder="1" applyAlignment="1" applyProtection="1">
      <alignment horizontal="right" vertical="center" wrapText="1"/>
    </xf>
    <xf numFmtId="165" fontId="0" fillId="9" borderId="104" xfId="1" applyFont="1" applyFill="1" applyBorder="1" applyAlignment="1" applyProtection="1">
      <alignment horizontal="center" vertical="center" wrapText="1"/>
    </xf>
    <xf numFmtId="0" fontId="0" fillId="9" borderId="103" xfId="0" applyFont="1" applyFill="1" applyBorder="1" applyAlignment="1" applyProtection="1">
      <alignment horizontal="justify" vertical="center"/>
    </xf>
    <xf numFmtId="2" fontId="0" fillId="9" borderId="0" xfId="0" applyNumberFormat="1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horizontal="center" vertical="center"/>
    </xf>
    <xf numFmtId="4" fontId="0" fillId="9" borderId="0" xfId="1" applyNumberFormat="1" applyFont="1" applyFill="1" applyBorder="1" applyAlignment="1" applyProtection="1">
      <alignment horizontal="right" vertical="center" wrapText="1"/>
    </xf>
    <xf numFmtId="165" fontId="0" fillId="9" borderId="0" xfId="1" applyFont="1" applyFill="1" applyBorder="1" applyAlignment="1" applyProtection="1">
      <alignment horizontal="right" vertical="center" wrapText="1"/>
    </xf>
    <xf numFmtId="4" fontId="0" fillId="9" borderId="88" xfId="1" applyNumberFormat="1" applyFont="1" applyFill="1" applyBorder="1" applyAlignment="1" applyProtection="1">
      <alignment horizontal="right" vertical="center" wrapText="1"/>
    </xf>
    <xf numFmtId="0" fontId="17" fillId="3" borderId="4" xfId="0" applyFont="1" applyFill="1" applyBorder="1" applyAlignment="1" applyProtection="1">
      <alignment horizontal="justify" vertical="center"/>
    </xf>
    <xf numFmtId="0" fontId="17" fillId="3" borderId="4" xfId="0" applyFont="1" applyFill="1" applyBorder="1" applyAlignment="1" applyProtection="1">
      <alignment horizontal="center" vertical="center"/>
    </xf>
    <xf numFmtId="165" fontId="17" fillId="3" borderId="4" xfId="1" applyFont="1" applyFill="1" applyBorder="1" applyAlignment="1" applyProtection="1">
      <alignment horizontal="right" vertical="center"/>
    </xf>
    <xf numFmtId="4" fontId="17" fillId="3" borderId="98" xfId="1" applyNumberFormat="1" applyFont="1" applyFill="1" applyBorder="1" applyAlignment="1" applyProtection="1">
      <alignment horizontal="right" vertical="center"/>
    </xf>
    <xf numFmtId="0" fontId="0" fillId="9" borderId="112" xfId="0" applyFont="1" applyFill="1" applyBorder="1" applyAlignment="1" applyProtection="1">
      <alignment vertical="center"/>
    </xf>
    <xf numFmtId="165" fontId="0" fillId="9" borderId="99" xfId="1" applyFont="1" applyFill="1" applyBorder="1" applyAlignment="1" applyProtection="1">
      <alignment horizontal="right" vertical="center" wrapText="1"/>
    </xf>
    <xf numFmtId="165" fontId="0" fillId="9" borderId="102" xfId="1" applyFont="1" applyFill="1" applyBorder="1" applyAlignment="1" applyProtection="1">
      <alignment horizontal="right" vertical="center" wrapText="1"/>
    </xf>
    <xf numFmtId="165" fontId="0" fillId="9" borderId="103" xfId="1" applyFont="1" applyFill="1" applyBorder="1" applyAlignment="1" applyProtection="1">
      <alignment horizontal="left" vertical="center" wrapText="1"/>
    </xf>
    <xf numFmtId="0" fontId="0" fillId="9" borderId="105" xfId="0" applyFont="1" applyFill="1" applyBorder="1" applyAlignment="1" applyProtection="1">
      <alignment horizontal="justify" vertical="center"/>
    </xf>
    <xf numFmtId="0" fontId="0" fillId="0" borderId="10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left" vertical="center"/>
    </xf>
    <xf numFmtId="165" fontId="44" fillId="3" borderId="4" xfId="1" applyFont="1" applyFill="1" applyBorder="1" applyAlignment="1" applyProtection="1">
      <alignment horizontal="right" vertical="center" wrapText="1"/>
    </xf>
    <xf numFmtId="0" fontId="0" fillId="9" borderId="100" xfId="0" applyFont="1" applyFill="1" applyBorder="1" applyAlignment="1" applyProtection="1">
      <alignment horizontal="justify" vertical="center"/>
    </xf>
    <xf numFmtId="0" fontId="0" fillId="0" borderId="103" xfId="0" applyFont="1" applyFill="1" applyBorder="1" applyAlignment="1" applyProtection="1">
      <alignment vertical="center"/>
    </xf>
    <xf numFmtId="0" fontId="46" fillId="0" borderId="0" xfId="0" applyFont="1" applyProtection="1"/>
    <xf numFmtId="2" fontId="0" fillId="9" borderId="113" xfId="0" applyNumberFormat="1" applyFont="1" applyFill="1" applyBorder="1" applyAlignment="1" applyProtection="1">
      <alignment vertical="center"/>
    </xf>
    <xf numFmtId="0" fontId="0" fillId="9" borderId="113" xfId="0" applyFont="1" applyFill="1" applyBorder="1" applyAlignment="1" applyProtection="1">
      <alignment horizontal="left" vertical="center"/>
    </xf>
    <xf numFmtId="0" fontId="0" fillId="9" borderId="113" xfId="0" applyFont="1" applyFill="1" applyBorder="1" applyAlignment="1" applyProtection="1">
      <alignment horizontal="right" vertical="center"/>
    </xf>
    <xf numFmtId="0" fontId="0" fillId="9" borderId="114" xfId="0" applyFont="1" applyFill="1" applyBorder="1" applyAlignment="1" applyProtection="1">
      <alignment horizontal="left" vertical="center"/>
    </xf>
    <xf numFmtId="0" fontId="47" fillId="9" borderId="100" xfId="0" applyFont="1" applyFill="1" applyBorder="1" applyAlignment="1" applyProtection="1">
      <alignment horizontal="right" vertical="center"/>
    </xf>
    <xf numFmtId="4" fontId="0" fillId="11" borderId="100" xfId="0" applyNumberFormat="1" applyFont="1" applyFill="1" applyBorder="1" applyAlignment="1" applyProtection="1">
      <alignment horizontal="center" vertical="center"/>
      <protection locked="0"/>
    </xf>
    <xf numFmtId="0" fontId="0" fillId="9" borderId="100" xfId="0" applyFont="1" applyFill="1" applyBorder="1" applyAlignment="1" applyProtection="1">
      <alignment horizontal="left" vertical="center"/>
    </xf>
    <xf numFmtId="0" fontId="0" fillId="9" borderId="100" xfId="0" applyFont="1" applyFill="1" applyBorder="1" applyAlignment="1" applyProtection="1">
      <alignment horizontal="right" vertical="center"/>
    </xf>
    <xf numFmtId="10" fontId="0" fillId="11" borderId="112" xfId="2" applyNumberFormat="1" applyFont="1" applyFill="1" applyBorder="1" applyAlignment="1" applyProtection="1">
      <alignment horizontal="center" vertical="center"/>
      <protection locked="0"/>
    </xf>
    <xf numFmtId="0" fontId="0" fillId="0" borderId="103" xfId="0" applyFont="1" applyBorder="1" applyAlignment="1" applyProtection="1">
      <alignment vertical="center" wrapText="1"/>
    </xf>
    <xf numFmtId="0" fontId="0" fillId="0" borderId="105" xfId="0" applyFont="1" applyBorder="1" applyAlignment="1" applyProtection="1">
      <alignment vertical="center" wrapText="1"/>
    </xf>
    <xf numFmtId="4" fontId="0" fillId="0" borderId="102" xfId="1" applyNumberFormat="1" applyFont="1" applyFill="1" applyBorder="1" applyAlignment="1" applyProtection="1">
      <alignment horizontal="right" vertical="center" wrapText="1"/>
    </xf>
    <xf numFmtId="0" fontId="0" fillId="9" borderId="103" xfId="0" applyFont="1" applyFill="1" applyBorder="1" applyAlignment="1" applyProtection="1">
      <alignment horizontal="right" vertical="center"/>
    </xf>
    <xf numFmtId="10" fontId="0" fillId="11" borderId="10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23" fillId="3" borderId="96" xfId="0" applyFont="1" applyFill="1" applyBorder="1" applyAlignment="1" applyProtection="1">
      <alignment horizontal="center" vertical="center"/>
    </xf>
    <xf numFmtId="4" fontId="44" fillId="3" borderId="4" xfId="1" applyNumberFormat="1" applyFont="1" applyFill="1" applyBorder="1" applyAlignment="1" applyProtection="1">
      <alignment horizontal="right" vertical="center" wrapText="1"/>
    </xf>
    <xf numFmtId="0" fontId="17" fillId="0" borderId="96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7" fillId="0" borderId="97" xfId="0" applyFont="1" applyFill="1" applyBorder="1" applyAlignment="1" applyProtection="1">
      <alignment vertical="center"/>
    </xf>
    <xf numFmtId="0" fontId="23" fillId="9" borderId="99" xfId="0" applyFont="1" applyFill="1" applyBorder="1" applyAlignment="1" applyProtection="1">
      <alignment horizontal="center" vertical="center"/>
    </xf>
    <xf numFmtId="4" fontId="0" fillId="0" borderId="101" xfId="1" applyNumberFormat="1" applyFont="1" applyFill="1" applyBorder="1" applyAlignment="1" applyProtection="1">
      <alignment horizontal="right" vertical="center" wrapText="1"/>
    </xf>
    <xf numFmtId="0" fontId="23" fillId="9" borderId="104" xfId="0" applyFont="1" applyFill="1" applyBorder="1" applyAlignment="1" applyProtection="1">
      <alignment horizontal="center" vertical="center"/>
    </xf>
    <xf numFmtId="0" fontId="48" fillId="9" borderId="103" xfId="3" applyNumberFormat="1" applyFont="1" applyFill="1" applyBorder="1" applyAlignment="1" applyProtection="1">
      <alignment horizontal="center" vertical="center"/>
    </xf>
    <xf numFmtId="0" fontId="48" fillId="9" borderId="105" xfId="3" applyNumberFormat="1" applyFont="1" applyFill="1" applyBorder="1" applyAlignment="1" applyProtection="1">
      <alignment horizontal="center" vertical="center"/>
    </xf>
    <xf numFmtId="0" fontId="0" fillId="9" borderId="103" xfId="0" applyFont="1" applyFill="1" applyBorder="1" applyAlignment="1" applyProtection="1">
      <alignment horizontal="left" vertical="center"/>
    </xf>
    <xf numFmtId="0" fontId="48" fillId="0" borderId="105" xfId="3" applyNumberFormat="1" applyFont="1" applyFill="1" applyBorder="1" applyAlignment="1" applyProtection="1">
      <alignment horizontal="center" vertical="center"/>
    </xf>
    <xf numFmtId="0" fontId="0" fillId="9" borderId="105" xfId="0" applyFont="1" applyFill="1" applyBorder="1" applyProtection="1"/>
    <xf numFmtId="0" fontId="0" fillId="0" borderId="105" xfId="0" applyFont="1" applyBorder="1" applyProtection="1"/>
    <xf numFmtId="165" fontId="0" fillId="11" borderId="104" xfId="1" applyFont="1" applyFill="1" applyBorder="1" applyAlignment="1" applyProtection="1">
      <alignment horizontal="right" vertical="center" wrapText="1"/>
      <protection locked="0"/>
    </xf>
    <xf numFmtId="0" fontId="47" fillId="9" borderId="111" xfId="0" applyFont="1" applyFill="1" applyBorder="1" applyAlignment="1" applyProtection="1">
      <alignment vertical="center"/>
    </xf>
    <xf numFmtId="0" fontId="0" fillId="0" borderId="103" xfId="0" applyFont="1" applyBorder="1" applyProtection="1"/>
    <xf numFmtId="0" fontId="0" fillId="9" borderId="103" xfId="0" applyFont="1" applyFill="1" applyBorder="1" applyAlignment="1" applyProtection="1">
      <alignment horizontal="justify" vertical="center" wrapText="1"/>
    </xf>
    <xf numFmtId="0" fontId="0" fillId="9" borderId="105" xfId="0" applyFont="1" applyFill="1" applyBorder="1" applyAlignment="1" applyProtection="1">
      <alignment horizontal="center" vertical="center" wrapText="1"/>
    </xf>
    <xf numFmtId="4" fontId="47" fillId="9" borderId="111" xfId="0" applyNumberFormat="1" applyFont="1" applyFill="1" applyBorder="1" applyAlignment="1" applyProtection="1">
      <alignment vertical="center"/>
    </xf>
    <xf numFmtId="0" fontId="0" fillId="9" borderId="103" xfId="0" applyFont="1" applyFill="1" applyBorder="1" applyAlignment="1" applyProtection="1">
      <alignment vertical="center" wrapText="1"/>
    </xf>
    <xf numFmtId="165" fontId="0" fillId="9" borderId="102" xfId="1" applyFont="1" applyFill="1" applyBorder="1" applyAlignment="1" applyProtection="1">
      <alignment horizontal="center" vertical="center" wrapText="1"/>
    </xf>
    <xf numFmtId="0" fontId="0" fillId="0" borderId="101" xfId="0" applyFont="1" applyBorder="1" applyAlignment="1" applyProtection="1">
      <alignment horizontal="center" vertical="center"/>
    </xf>
    <xf numFmtId="4" fontId="0" fillId="0" borderId="100" xfId="0" applyNumberFormat="1" applyFont="1" applyFill="1" applyBorder="1" applyAlignment="1" applyProtection="1">
      <alignment horizontal="right" vertical="center"/>
    </xf>
    <xf numFmtId="0" fontId="0" fillId="9" borderId="113" xfId="0" applyFont="1" applyFill="1" applyBorder="1" applyAlignment="1" applyProtection="1">
      <alignment vertical="center"/>
    </xf>
    <xf numFmtId="0" fontId="0" fillId="9" borderId="114" xfId="0" applyFont="1" applyFill="1" applyBorder="1" applyAlignment="1" applyProtection="1">
      <alignment vertical="center"/>
    </xf>
    <xf numFmtId="0" fontId="0" fillId="0" borderId="102" xfId="0" applyFont="1" applyBorder="1" applyAlignment="1" applyProtection="1">
      <alignment horizontal="center" vertical="center"/>
    </xf>
    <xf numFmtId="0" fontId="0" fillId="9" borderId="100" xfId="0" applyFont="1" applyFill="1" applyBorder="1" applyAlignment="1" applyProtection="1">
      <alignment horizontal="left" vertical="center" wrapText="1"/>
    </xf>
    <xf numFmtId="4" fontId="0" fillId="0" borderId="103" xfId="0" applyNumberFormat="1" applyFont="1" applyFill="1" applyBorder="1" applyAlignment="1" applyProtection="1">
      <alignment horizontal="right" vertical="center"/>
    </xf>
    <xf numFmtId="4" fontId="0" fillId="0" borderId="104" xfId="1" applyNumberFormat="1" applyFont="1" applyFill="1" applyBorder="1" applyAlignment="1" applyProtection="1">
      <alignment horizontal="right" vertical="center" wrapText="1"/>
    </xf>
    <xf numFmtId="0" fontId="47" fillId="9" borderId="103" xfId="0" applyFont="1" applyFill="1" applyBorder="1" applyAlignment="1" applyProtection="1">
      <alignment horizontal="right" vertical="center"/>
    </xf>
    <xf numFmtId="0" fontId="0" fillId="9" borderId="117" xfId="0" applyFont="1" applyFill="1" applyBorder="1" applyAlignment="1" applyProtection="1">
      <alignment vertical="center"/>
    </xf>
    <xf numFmtId="0" fontId="0" fillId="9" borderId="116" xfId="0" applyFont="1" applyFill="1" applyBorder="1" applyAlignment="1" applyProtection="1">
      <alignment vertical="center"/>
    </xf>
    <xf numFmtId="0" fontId="0" fillId="9" borderId="118" xfId="0" applyFont="1" applyFill="1" applyBorder="1" applyAlignment="1" applyProtection="1">
      <alignment horizontal="center" vertical="center"/>
    </xf>
    <xf numFmtId="2" fontId="0" fillId="9" borderId="119" xfId="0" applyNumberFormat="1" applyFont="1" applyFill="1" applyBorder="1" applyAlignment="1" applyProtection="1">
      <alignment vertical="center"/>
    </xf>
    <xf numFmtId="165" fontId="0" fillId="9" borderId="119" xfId="1" applyFont="1" applyFill="1" applyBorder="1" applyAlignment="1" applyProtection="1">
      <alignment horizontal="left" vertical="center" wrapText="1"/>
    </xf>
    <xf numFmtId="0" fontId="0" fillId="9" borderId="119" xfId="0" applyFont="1" applyFill="1" applyBorder="1" applyAlignment="1" applyProtection="1">
      <alignment horizontal="justify" vertical="center"/>
    </xf>
    <xf numFmtId="0" fontId="0" fillId="9" borderId="119" xfId="0" applyFont="1" applyFill="1" applyBorder="1" applyProtection="1"/>
    <xf numFmtId="165" fontId="0" fillId="9" borderId="119" xfId="1" applyFont="1" applyFill="1" applyBorder="1" applyAlignment="1" applyProtection="1">
      <alignment horizontal="center" vertical="center" wrapText="1"/>
    </xf>
    <xf numFmtId="4" fontId="0" fillId="9" borderId="119" xfId="1" applyNumberFormat="1" applyFont="1" applyFill="1" applyBorder="1" applyAlignment="1" applyProtection="1">
      <alignment horizontal="right" vertical="center" wrapText="1"/>
      <protection locked="0"/>
    </xf>
    <xf numFmtId="165" fontId="0" fillId="9" borderId="119" xfId="1" applyFont="1" applyFill="1" applyBorder="1" applyAlignment="1" applyProtection="1">
      <alignment horizontal="right" vertical="center" wrapText="1"/>
    </xf>
    <xf numFmtId="4" fontId="0" fillId="9" borderId="120" xfId="1" applyNumberFormat="1" applyFont="1" applyFill="1" applyBorder="1" applyAlignment="1" applyProtection="1">
      <alignment horizontal="right" vertical="center" wrapText="1"/>
    </xf>
    <xf numFmtId="0" fontId="0" fillId="9" borderId="89" xfId="0" applyFont="1" applyFill="1" applyBorder="1" applyAlignment="1" applyProtection="1">
      <alignment horizontal="center" vertical="center"/>
    </xf>
    <xf numFmtId="0" fontId="0" fillId="9" borderId="89" xfId="0" applyFont="1" applyFill="1" applyBorder="1" applyAlignment="1" applyProtection="1">
      <alignment vertical="center"/>
    </xf>
    <xf numFmtId="4" fontId="0" fillId="9" borderId="89" xfId="0" applyNumberFormat="1" applyFont="1" applyFill="1" applyBorder="1" applyAlignment="1" applyProtection="1">
      <alignment horizontal="center" vertical="center" wrapText="1"/>
    </xf>
    <xf numFmtId="2" fontId="40" fillId="9" borderId="89" xfId="0" applyNumberFormat="1" applyFont="1" applyFill="1" applyBorder="1" applyAlignment="1" applyProtection="1">
      <alignment horizontal="center" vertical="center" wrapText="1"/>
    </xf>
    <xf numFmtId="4" fontId="16" fillId="9" borderId="91" xfId="1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Border="1" applyProtection="1"/>
    <xf numFmtId="0" fontId="16" fillId="9" borderId="0" xfId="0" applyFont="1" applyFill="1" applyBorder="1" applyAlignment="1" applyProtection="1">
      <alignment horizontal="left" vertical="center"/>
    </xf>
    <xf numFmtId="165" fontId="23" fillId="9" borderId="0" xfId="1" applyFont="1" applyFill="1" applyBorder="1" applyAlignment="1" applyProtection="1">
      <alignment horizontal="center" vertical="center"/>
    </xf>
    <xf numFmtId="0" fontId="16" fillId="9" borderId="85" xfId="0" applyFont="1" applyFill="1" applyBorder="1" applyAlignment="1" applyProtection="1">
      <alignment horizontal="left" vertical="center"/>
    </xf>
    <xf numFmtId="0" fontId="0" fillId="9" borderId="86" xfId="0" applyFont="1" applyFill="1" applyBorder="1" applyAlignment="1" applyProtection="1">
      <alignment horizontal="left"/>
    </xf>
    <xf numFmtId="0" fontId="16" fillId="9" borderId="86" xfId="0" applyFont="1" applyFill="1" applyBorder="1" applyAlignment="1" applyProtection="1">
      <alignment horizontal="left" vertical="center"/>
    </xf>
    <xf numFmtId="165" fontId="23" fillId="9" borderId="121" xfId="1" applyFont="1" applyFill="1" applyBorder="1" applyAlignment="1" applyProtection="1">
      <alignment horizontal="center" vertical="center"/>
    </xf>
    <xf numFmtId="0" fontId="16" fillId="9" borderId="90" xfId="0" applyFont="1" applyFill="1" applyBorder="1" applyAlignment="1" applyProtection="1">
      <alignment vertical="top"/>
    </xf>
    <xf numFmtId="0" fontId="16" fillId="9" borderId="122" xfId="0" applyFont="1" applyFill="1" applyBorder="1" applyAlignment="1" applyProtection="1">
      <alignment vertical="center"/>
    </xf>
    <xf numFmtId="0" fontId="16" fillId="9" borderId="90" xfId="0" applyFont="1" applyFill="1" applyBorder="1" applyAlignment="1" applyProtection="1">
      <alignment vertical="center"/>
    </xf>
    <xf numFmtId="165" fontId="50" fillId="9" borderId="0" xfId="1" applyFont="1" applyFill="1" applyBorder="1" applyAlignment="1" applyProtection="1">
      <alignment horizontal="center" vertical="center"/>
    </xf>
    <xf numFmtId="0" fontId="50" fillId="9" borderId="0" xfId="0" applyFont="1" applyFill="1" applyBorder="1" applyAlignment="1" applyProtection="1">
      <alignment horizontal="left" vertical="center"/>
    </xf>
    <xf numFmtId="165" fontId="51" fillId="9" borderId="0" xfId="1" applyFont="1" applyFill="1" applyBorder="1" applyAlignment="1" applyProtection="1">
      <alignment horizontal="center" vertical="center"/>
    </xf>
    <xf numFmtId="0" fontId="52" fillId="9" borderId="0" xfId="0" applyFont="1" applyFill="1" applyBorder="1" applyAlignment="1" applyProtection="1">
      <alignment horizontal="left" vertical="center"/>
    </xf>
    <xf numFmtId="0" fontId="0" fillId="9" borderId="0" xfId="0" applyFont="1" applyFill="1" applyProtection="1"/>
    <xf numFmtId="0" fontId="0" fillId="9" borderId="0" xfId="22" applyFont="1" applyFill="1" applyProtection="1"/>
    <xf numFmtId="180" fontId="0" fillId="9" borderId="0" xfId="0" applyNumberFormat="1" applyFont="1" applyFill="1" applyProtection="1"/>
    <xf numFmtId="0" fontId="0" fillId="9" borderId="0" xfId="0" applyFont="1" applyFill="1" applyAlignment="1" applyProtection="1">
      <alignment horizontal="center"/>
    </xf>
    <xf numFmtId="0" fontId="0" fillId="0" borderId="0" xfId="26" applyFont="1" applyAlignment="1" applyProtection="1">
      <alignment vertical="center"/>
    </xf>
    <xf numFmtId="0" fontId="0" fillId="9" borderId="126" xfId="23" applyFont="1" applyFill="1" applyBorder="1" applyAlignment="1" applyProtection="1">
      <alignment vertical="center"/>
    </xf>
    <xf numFmtId="0" fontId="0" fillId="0" borderId="0" xfId="26" applyFont="1" applyFill="1" applyAlignment="1" applyProtection="1">
      <alignment vertical="center"/>
    </xf>
    <xf numFmtId="0" fontId="0" fillId="9" borderId="111" xfId="23" applyFont="1" applyFill="1" applyBorder="1" applyAlignment="1" applyProtection="1">
      <alignment horizontal="right" vertical="center"/>
    </xf>
    <xf numFmtId="167" fontId="0" fillId="9" borderId="103" xfId="26" applyNumberFormat="1" applyFont="1" applyFill="1" applyBorder="1" applyAlignment="1" applyProtection="1">
      <alignment vertical="center"/>
    </xf>
    <xf numFmtId="0" fontId="0" fillId="9" borderId="110" xfId="26" applyFont="1" applyFill="1" applyBorder="1" applyAlignment="1" applyProtection="1">
      <alignment horizontal="left" vertical="center"/>
    </xf>
    <xf numFmtId="0" fontId="0" fillId="9" borderId="103" xfId="0" applyFill="1" applyBorder="1" applyAlignment="1"/>
    <xf numFmtId="0" fontId="0" fillId="9" borderId="110" xfId="0" applyFill="1" applyBorder="1" applyAlignment="1"/>
    <xf numFmtId="0" fontId="0" fillId="9" borderId="127" xfId="23" applyFont="1" applyFill="1" applyBorder="1" applyAlignment="1" applyProtection="1">
      <alignment horizontal="left" vertical="center"/>
    </xf>
    <xf numFmtId="0" fontId="23" fillId="11" borderId="128" xfId="23" applyFont="1" applyFill="1" applyBorder="1" applyAlignment="1" applyProtection="1">
      <alignment horizontal="center" vertical="center"/>
      <protection locked="0"/>
    </xf>
    <xf numFmtId="180" fontId="23" fillId="9" borderId="110" xfId="26" applyNumberFormat="1" applyFont="1" applyFill="1" applyBorder="1" applyAlignment="1" applyProtection="1">
      <alignment horizontal="left" vertical="center"/>
    </xf>
    <xf numFmtId="0" fontId="0" fillId="9" borderId="103" xfId="26" applyFont="1" applyFill="1" applyBorder="1" applyAlignment="1" applyProtection="1">
      <alignment vertical="center"/>
    </xf>
    <xf numFmtId="0" fontId="0" fillId="9" borderId="113" xfId="26" applyFont="1" applyFill="1" applyBorder="1" applyAlignment="1" applyProtection="1">
      <alignment vertical="center"/>
    </xf>
    <xf numFmtId="0" fontId="0" fillId="9" borderId="0" xfId="26" applyFont="1" applyFill="1" applyAlignment="1" applyProtection="1">
      <alignment vertical="center"/>
    </xf>
    <xf numFmtId="0" fontId="23" fillId="9" borderId="127" xfId="26" applyFont="1" applyFill="1" applyBorder="1" applyAlignment="1" applyProtection="1">
      <alignment horizontal="center" vertical="center"/>
    </xf>
    <xf numFmtId="10" fontId="0" fillId="11" borderId="126" xfId="30" applyNumberFormat="1" applyFont="1" applyFill="1" applyBorder="1" applyAlignment="1" applyProtection="1">
      <alignment vertical="center"/>
      <protection locked="0"/>
    </xf>
    <xf numFmtId="165" fontId="0" fillId="9" borderId="126" xfId="31" applyFont="1" applyFill="1" applyBorder="1" applyAlignment="1" applyProtection="1">
      <alignment vertical="center"/>
    </xf>
    <xf numFmtId="0" fontId="0" fillId="9" borderId="103" xfId="26" applyFont="1" applyFill="1" applyBorder="1" applyAlignment="1" applyProtection="1">
      <alignment horizontal="left" vertical="center"/>
    </xf>
    <xf numFmtId="10" fontId="0" fillId="0" borderId="0" xfId="30" applyNumberFormat="1" applyFont="1" applyFill="1" applyBorder="1" applyAlignment="1" applyProtection="1">
      <alignment vertical="center"/>
    </xf>
    <xf numFmtId="165" fontId="0" fillId="0" borderId="0" xfId="31" applyFont="1" applyFill="1" applyBorder="1" applyAlignment="1" applyProtection="1">
      <alignment vertical="center"/>
    </xf>
    <xf numFmtId="165" fontId="0" fillId="9" borderId="0" xfId="31" applyFont="1" applyFill="1" applyBorder="1" applyAlignment="1" applyProtection="1">
      <alignment vertical="center"/>
    </xf>
    <xf numFmtId="10" fontId="0" fillId="11" borderId="126" xfId="2" applyNumberFormat="1" applyFont="1" applyFill="1" applyBorder="1" applyAlignment="1" applyProtection="1">
      <alignment vertical="center"/>
      <protection locked="0"/>
    </xf>
    <xf numFmtId="10" fontId="0" fillId="9" borderId="126" xfId="30" applyNumberFormat="1" applyFont="1" applyFill="1" applyBorder="1" applyAlignment="1" applyProtection="1">
      <alignment vertical="center"/>
    </xf>
    <xf numFmtId="164" fontId="53" fillId="9" borderId="126" xfId="31" applyNumberFormat="1" applyFont="1" applyFill="1" applyBorder="1" applyAlignment="1" applyProtection="1">
      <alignment vertical="center"/>
    </xf>
    <xf numFmtId="165" fontId="23" fillId="9" borderId="126" xfId="31" applyFont="1" applyFill="1" applyBorder="1" applyAlignment="1" applyProtection="1">
      <alignment vertical="center"/>
    </xf>
    <xf numFmtId="182" fontId="0" fillId="9" borderId="0" xfId="31" applyNumberFormat="1" applyFont="1" applyFill="1" applyBorder="1" applyAlignment="1" applyProtection="1">
      <alignment vertical="center"/>
    </xf>
    <xf numFmtId="0" fontId="23" fillId="9" borderId="0" xfId="26" applyFont="1" applyFill="1" applyAlignment="1" applyProtection="1">
      <alignment horizontal="right" vertical="center"/>
    </xf>
    <xf numFmtId="10" fontId="23" fillId="11" borderId="126" xfId="2" applyNumberFormat="1" applyFont="1" applyFill="1" applyBorder="1" applyAlignment="1" applyProtection="1">
      <alignment horizontal="center" vertical="center"/>
      <protection locked="0"/>
    </xf>
    <xf numFmtId="180" fontId="54" fillId="9" borderId="0" xfId="26" applyNumberFormat="1" applyFont="1" applyFill="1" applyBorder="1" applyAlignment="1" applyProtection="1">
      <alignment horizontal="right" vertical="center"/>
    </xf>
    <xf numFmtId="0" fontId="0" fillId="9" borderId="0" xfId="26" applyFont="1" applyFill="1" applyBorder="1" applyAlignment="1" applyProtection="1">
      <alignment vertical="center"/>
    </xf>
    <xf numFmtId="182" fontId="23" fillId="9" borderId="126" xfId="1" applyNumberFormat="1" applyFont="1" applyFill="1" applyBorder="1" applyAlignment="1" applyProtection="1">
      <alignment vertical="center"/>
    </xf>
    <xf numFmtId="180" fontId="54" fillId="9" borderId="0" xfId="30" applyNumberFormat="1" applyFont="1" applyFill="1" applyBorder="1" applyAlignment="1" applyProtection="1">
      <alignment horizontal="right" vertical="center"/>
    </xf>
    <xf numFmtId="169" fontId="23" fillId="9" borderId="126" xfId="23" applyNumberFormat="1" applyFont="1" applyFill="1" applyBorder="1" applyAlignment="1" applyProtection="1">
      <alignment horizontal="center" vertical="center"/>
    </xf>
    <xf numFmtId="0" fontId="23" fillId="9" borderId="0" xfId="29" applyFont="1" applyFill="1" applyBorder="1" applyAlignment="1" applyProtection="1">
      <alignment vertical="center" wrapText="1"/>
    </xf>
    <xf numFmtId="182" fontId="23" fillId="9" borderId="126" xfId="1" applyNumberFormat="1" applyFont="1" applyFill="1" applyBorder="1" applyAlignment="1" applyProtection="1">
      <alignment horizontal="right" vertical="center"/>
    </xf>
    <xf numFmtId="0" fontId="0" fillId="9" borderId="0" xfId="25" applyFont="1" applyFill="1" applyBorder="1" applyAlignment="1" applyProtection="1">
      <alignment horizontal="center" vertical="center"/>
    </xf>
    <xf numFmtId="180" fontId="0" fillId="9" borderId="0" xfId="1" applyNumberFormat="1" applyFont="1" applyFill="1" applyBorder="1" applyAlignment="1" applyProtection="1"/>
    <xf numFmtId="0" fontId="0" fillId="9" borderId="0" xfId="23" applyFont="1" applyFill="1" applyAlignment="1" applyProtection="1">
      <alignment horizontal="center" vertical="center"/>
    </xf>
    <xf numFmtId="0" fontId="23" fillId="9" borderId="0" xfId="22" applyFont="1" applyFill="1" applyBorder="1" applyAlignment="1" applyProtection="1">
      <alignment horizontal="right" vertical="center"/>
    </xf>
    <xf numFmtId="182" fontId="53" fillId="9" borderId="126" xfId="1" applyNumberFormat="1" applyFont="1" applyFill="1" applyBorder="1" applyAlignment="1" applyProtection="1">
      <alignment horizontal="right" vertical="center"/>
    </xf>
    <xf numFmtId="180" fontId="0" fillId="9" borderId="0" xfId="26" applyNumberFormat="1" applyFont="1" applyFill="1" applyAlignment="1" applyProtection="1">
      <alignment vertical="center"/>
    </xf>
    <xf numFmtId="0" fontId="30" fillId="9" borderId="0" xfId="23" applyFont="1" applyFill="1" applyAlignment="1" applyProtection="1">
      <protection locked="0"/>
    </xf>
    <xf numFmtId="181" fontId="0" fillId="9" borderId="0" xfId="26" applyNumberFormat="1" applyFont="1" applyFill="1" applyAlignment="1" applyProtection="1">
      <alignment vertical="center"/>
    </xf>
    <xf numFmtId="183" fontId="0" fillId="9" borderId="0" xfId="26" applyNumberFormat="1" applyFont="1" applyFill="1" applyAlignment="1" applyProtection="1">
      <alignment vertical="center"/>
    </xf>
    <xf numFmtId="0" fontId="55" fillId="0" borderId="0" xfId="26" applyFont="1" applyAlignment="1" applyProtection="1">
      <alignment vertical="center"/>
    </xf>
    <xf numFmtId="165" fontId="0" fillId="9" borderId="0" xfId="26" applyNumberFormat="1" applyFont="1" applyFill="1" applyAlignment="1" applyProtection="1">
      <alignment vertical="center"/>
    </xf>
    <xf numFmtId="0" fontId="0" fillId="9" borderId="49" xfId="0" applyFont="1" applyFill="1" applyBorder="1" applyProtection="1"/>
    <xf numFmtId="0" fontId="0" fillId="9" borderId="47" xfId="0" applyFont="1" applyFill="1" applyBorder="1" applyProtection="1"/>
    <xf numFmtId="0" fontId="0" fillId="9" borderId="47" xfId="0" applyFont="1" applyFill="1" applyBorder="1" applyAlignment="1" applyProtection="1">
      <alignment horizontal="right" vertical="center"/>
    </xf>
    <xf numFmtId="10" fontId="23" fillId="11" borderId="47" xfId="0" applyNumberFormat="1" applyFont="1" applyFill="1" applyBorder="1" applyAlignment="1" applyProtection="1">
      <alignment vertical="center" wrapText="1"/>
      <protection locked="0"/>
    </xf>
    <xf numFmtId="0" fontId="0" fillId="0" borderId="65" xfId="0" applyFont="1" applyBorder="1" applyProtection="1"/>
    <xf numFmtId="0" fontId="0" fillId="0" borderId="47" xfId="0" applyFont="1" applyBorder="1" applyProtection="1"/>
    <xf numFmtId="0" fontId="0" fillId="9" borderId="47" xfId="0" applyFont="1" applyFill="1" applyBorder="1" applyAlignment="1" applyProtection="1">
      <alignment vertical="center"/>
    </xf>
    <xf numFmtId="0" fontId="0" fillId="9" borderId="48" xfId="0" applyFont="1" applyFill="1" applyBorder="1" applyProtection="1"/>
    <xf numFmtId="0" fontId="0" fillId="9" borderId="45" xfId="0" applyFont="1" applyFill="1" applyBorder="1" applyAlignment="1" applyProtection="1">
      <alignment vertical="center" wrapText="1"/>
    </xf>
    <xf numFmtId="0" fontId="0" fillId="9" borderId="46" xfId="0" applyFont="1" applyFill="1" applyBorder="1" applyAlignment="1" applyProtection="1">
      <alignment vertical="center" wrapText="1"/>
    </xf>
    <xf numFmtId="0" fontId="0" fillId="9" borderId="12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9" borderId="131" xfId="0" applyFont="1" applyFill="1" applyBorder="1" applyAlignment="1" applyProtection="1">
      <alignment horizontal="center" vertical="center" wrapText="1"/>
    </xf>
    <xf numFmtId="0" fontId="0" fillId="9" borderId="63" xfId="0" applyFont="1" applyFill="1" applyBorder="1" applyAlignment="1" applyProtection="1">
      <alignment horizontal="center" vertical="center" wrapText="1"/>
    </xf>
    <xf numFmtId="0" fontId="0" fillId="9" borderId="132" xfId="0" applyFont="1" applyFill="1" applyBorder="1" applyAlignment="1" applyProtection="1">
      <alignment horizontal="center" vertical="center" wrapText="1"/>
    </xf>
    <xf numFmtId="0" fontId="0" fillId="9" borderId="64" xfId="0" applyFont="1" applyFill="1" applyBorder="1" applyAlignment="1" applyProtection="1">
      <alignment horizontal="center" vertical="center" wrapText="1"/>
    </xf>
    <xf numFmtId="0" fontId="0" fillId="9" borderId="20" xfId="0" applyFont="1" applyFill="1" applyBorder="1" applyProtection="1"/>
    <xf numFmtId="0" fontId="0" fillId="9" borderId="22" xfId="0" applyFont="1" applyFill="1" applyBorder="1" applyProtection="1"/>
    <xf numFmtId="0" fontId="0" fillId="9" borderId="22" xfId="0" applyFont="1" applyFill="1" applyBorder="1" applyAlignment="1" applyProtection="1">
      <alignment horizontal="justify" vertical="center"/>
    </xf>
    <xf numFmtId="0" fontId="0" fillId="9" borderId="23" xfId="0" applyFont="1" applyFill="1" applyBorder="1" applyProtection="1"/>
    <xf numFmtId="0" fontId="54" fillId="9" borderId="38" xfId="0" applyFont="1" applyFill="1" applyBorder="1" applyAlignment="1" applyProtection="1">
      <alignment horizontal="right" vertical="center"/>
    </xf>
    <xf numFmtId="0" fontId="54" fillId="9" borderId="13" xfId="0" applyFont="1" applyFill="1" applyBorder="1" applyAlignment="1" applyProtection="1">
      <alignment horizontal="left" vertical="center"/>
    </xf>
    <xf numFmtId="0" fontId="39" fillId="9" borderId="44" xfId="0" applyFont="1" applyFill="1" applyBorder="1" applyAlignment="1" applyProtection="1">
      <alignment horizontal="justify" vertical="center" wrapText="1"/>
    </xf>
    <xf numFmtId="184" fontId="0" fillId="12" borderId="2" xfId="0" applyNumberFormat="1" applyFont="1" applyFill="1" applyBorder="1" applyAlignment="1" applyProtection="1">
      <alignment vertical="center"/>
    </xf>
    <xf numFmtId="4" fontId="0" fillId="9" borderId="62" xfId="0" applyNumberFormat="1" applyFont="1" applyFill="1" applyBorder="1" applyAlignment="1" applyProtection="1">
      <alignment vertical="center"/>
    </xf>
    <xf numFmtId="4" fontId="0" fillId="9" borderId="11" xfId="0" applyNumberFormat="1" applyFont="1" applyFill="1" applyBorder="1" applyAlignment="1" applyProtection="1">
      <alignment vertical="center"/>
    </xf>
    <xf numFmtId="184" fontId="0" fillId="9" borderId="11" xfId="0" applyNumberFormat="1" applyFont="1" applyFill="1" applyBorder="1" applyAlignment="1" applyProtection="1">
      <alignment vertical="center"/>
    </xf>
    <xf numFmtId="10" fontId="0" fillId="9" borderId="11" xfId="2" applyNumberFormat="1" applyFont="1" applyFill="1" applyBorder="1" applyAlignment="1" applyProtection="1">
      <alignment vertical="center"/>
    </xf>
    <xf numFmtId="4" fontId="0" fillId="9" borderId="11" xfId="0" applyNumberFormat="1" applyFont="1" applyFill="1" applyBorder="1" applyAlignment="1" applyProtection="1">
      <alignment horizontal="center" vertical="center"/>
    </xf>
    <xf numFmtId="184" fontId="0" fillId="12" borderId="6" xfId="0" applyNumberFormat="1" applyFont="1" applyFill="1" applyBorder="1" applyAlignment="1" applyProtection="1">
      <alignment vertical="center"/>
    </xf>
    <xf numFmtId="184" fontId="0" fillId="12" borderId="8" xfId="0" applyNumberFormat="1" applyFont="1" applyFill="1" applyBorder="1" applyAlignment="1" applyProtection="1">
      <alignment vertical="center"/>
    </xf>
    <xf numFmtId="184" fontId="0" fillId="9" borderId="62" xfId="0" applyNumberFormat="1" applyFont="1" applyFill="1" applyBorder="1" applyAlignment="1" applyProtection="1">
      <alignment vertical="center"/>
    </xf>
    <xf numFmtId="184" fontId="0" fillId="9" borderId="5" xfId="0" applyNumberFormat="1" applyFont="1" applyFill="1" applyBorder="1" applyAlignment="1" applyProtection="1">
      <alignment vertical="center"/>
    </xf>
    <xf numFmtId="184" fontId="0" fillId="9" borderId="130" xfId="0" applyNumberFormat="1" applyFont="1" applyFill="1" applyBorder="1" applyAlignment="1" applyProtection="1">
      <alignment vertical="center"/>
    </xf>
    <xf numFmtId="0" fontId="54" fillId="9" borderId="39" xfId="0" applyFont="1" applyFill="1" applyBorder="1" applyAlignment="1" applyProtection="1">
      <alignment horizontal="right" vertical="center"/>
    </xf>
    <xf numFmtId="0" fontId="54" fillId="9" borderId="133" xfId="0" applyFont="1" applyFill="1" applyBorder="1" applyAlignment="1" applyProtection="1">
      <alignment horizontal="left" vertical="center"/>
    </xf>
    <xf numFmtId="184" fontId="0" fillId="12" borderId="62" xfId="0" applyNumberFormat="1" applyFont="1" applyFill="1" applyBorder="1" applyAlignment="1" applyProtection="1">
      <alignment vertical="center"/>
    </xf>
    <xf numFmtId="4" fontId="0" fillId="9" borderId="5" xfId="0" applyNumberFormat="1" applyFont="1" applyFill="1" applyBorder="1" applyAlignment="1" applyProtection="1">
      <alignment vertical="center" wrapText="1"/>
    </xf>
    <xf numFmtId="4" fontId="0" fillId="9" borderId="44" xfId="0" applyNumberFormat="1" applyFont="1" applyFill="1" applyBorder="1" applyAlignment="1" applyProtection="1">
      <alignment vertical="center" wrapText="1"/>
    </xf>
    <xf numFmtId="184" fontId="0" fillId="9" borderId="44" xfId="0" applyNumberFormat="1" applyFont="1" applyFill="1" applyBorder="1" applyAlignment="1" applyProtection="1">
      <alignment vertical="center" wrapText="1"/>
    </xf>
    <xf numFmtId="184" fontId="0" fillId="12" borderId="44" xfId="0" applyNumberFormat="1" applyFont="1" applyFill="1" applyBorder="1" applyAlignment="1" applyProtection="1">
      <alignment vertical="center"/>
    </xf>
    <xf numFmtId="184" fontId="0" fillId="12" borderId="133" xfId="0" applyNumberFormat="1" applyFont="1" applyFill="1" applyBorder="1" applyAlignment="1" applyProtection="1">
      <alignment vertical="center"/>
    </xf>
    <xf numFmtId="4" fontId="0" fillId="9" borderId="44" xfId="0" applyNumberFormat="1" applyFont="1" applyFill="1" applyBorder="1" applyAlignment="1" applyProtection="1">
      <alignment horizontal="center" vertical="center" wrapText="1"/>
    </xf>
    <xf numFmtId="184" fontId="0" fillId="12" borderId="9" xfId="0" applyNumberFormat="1" applyFont="1" applyFill="1" applyBorder="1" applyAlignment="1" applyProtection="1">
      <alignment vertical="center"/>
    </xf>
    <xf numFmtId="184" fontId="0" fillId="12" borderId="10" xfId="0" applyNumberFormat="1" applyFont="1" applyFill="1" applyBorder="1" applyAlignment="1" applyProtection="1">
      <alignment vertical="center"/>
    </xf>
    <xf numFmtId="184" fontId="0" fillId="12" borderId="3" xfId="0" applyNumberFormat="1" applyFont="1" applyFill="1" applyBorder="1" applyAlignment="1" applyProtection="1">
      <alignment vertical="center" wrapText="1"/>
    </xf>
    <xf numFmtId="4" fontId="0" fillId="9" borderId="5" xfId="0" applyNumberFormat="1" applyFont="1" applyFill="1" applyBorder="1" applyAlignment="1" applyProtection="1">
      <alignment vertical="center"/>
    </xf>
    <xf numFmtId="4" fontId="0" fillId="9" borderId="44" xfId="0" applyNumberFormat="1" applyFont="1" applyFill="1" applyBorder="1" applyAlignment="1" applyProtection="1">
      <alignment vertical="center"/>
    </xf>
    <xf numFmtId="184" fontId="0" fillId="9" borderId="44" xfId="0" applyNumberFormat="1" applyFont="1" applyFill="1" applyBorder="1" applyAlignment="1" applyProtection="1">
      <alignment vertical="center"/>
    </xf>
    <xf numFmtId="10" fontId="0" fillId="9" borderId="44" xfId="2" applyNumberFormat="1" applyFont="1" applyFill="1" applyBorder="1" applyAlignment="1" applyProtection="1">
      <alignment vertical="center"/>
    </xf>
    <xf numFmtId="4" fontId="0" fillId="9" borderId="44" xfId="0" applyNumberFormat="1" applyFont="1" applyFill="1" applyBorder="1" applyAlignment="1" applyProtection="1">
      <alignment horizontal="center" vertical="center"/>
    </xf>
    <xf numFmtId="184" fontId="0" fillId="12" borderId="3" xfId="0" applyNumberFormat="1" applyFont="1" applyFill="1" applyBorder="1" applyAlignment="1" applyProtection="1">
      <alignment vertical="center"/>
    </xf>
    <xf numFmtId="10" fontId="0" fillId="9" borderId="44" xfId="2" applyNumberFormat="1" applyFont="1" applyFill="1" applyBorder="1" applyAlignment="1" applyProtection="1">
      <alignment vertical="center" wrapText="1"/>
    </xf>
    <xf numFmtId="184" fontId="0" fillId="12" borderId="5" xfId="0" applyNumberFormat="1" applyFont="1" applyFill="1" applyBorder="1" applyAlignment="1" applyProtection="1">
      <alignment vertical="center"/>
    </xf>
    <xf numFmtId="184" fontId="0" fillId="12" borderId="11" xfId="0" applyNumberFormat="1" applyFont="1" applyFill="1" applyBorder="1" applyAlignment="1" applyProtection="1">
      <alignment vertical="center"/>
    </xf>
    <xf numFmtId="184" fontId="0" fillId="12" borderId="13" xfId="0" applyNumberFormat="1" applyFont="1" applyFill="1" applyBorder="1" applyAlignment="1" applyProtection="1">
      <alignment vertical="center"/>
    </xf>
    <xf numFmtId="4" fontId="39" fillId="9" borderId="11" xfId="0" applyNumberFormat="1" applyFont="1" applyFill="1" applyBorder="1" applyAlignment="1" applyProtection="1">
      <alignment horizontal="center" vertical="center" wrapText="1"/>
    </xf>
    <xf numFmtId="184" fontId="0" fillId="0" borderId="62" xfId="0" applyNumberFormat="1" applyFont="1" applyFill="1" applyBorder="1" applyAlignment="1" applyProtection="1">
      <alignment vertical="center"/>
    </xf>
    <xf numFmtId="184" fontId="0" fillId="12" borderId="7" xfId="0" applyNumberFormat="1" applyFont="1" applyFill="1" applyBorder="1" applyAlignment="1" applyProtection="1">
      <alignment vertical="center"/>
    </xf>
    <xf numFmtId="0" fontId="54" fillId="9" borderId="5" xfId="0" applyFont="1" applyFill="1" applyBorder="1" applyAlignment="1" applyProtection="1">
      <alignment horizontal="left" vertical="center"/>
    </xf>
    <xf numFmtId="4" fontId="0" fillId="12" borderId="44" xfId="0" applyNumberFormat="1" applyFont="1" applyFill="1" applyBorder="1" applyAlignment="1" applyProtection="1">
      <alignment vertical="center"/>
    </xf>
    <xf numFmtId="4" fontId="0" fillId="12" borderId="4" xfId="0" applyNumberFormat="1" applyFont="1" applyFill="1" applyBorder="1" applyAlignment="1" applyProtection="1">
      <alignment vertical="center"/>
    </xf>
    <xf numFmtId="184" fontId="0" fillId="12" borderId="4" xfId="0" applyNumberFormat="1" applyFont="1" applyFill="1" applyBorder="1" applyAlignment="1" applyProtection="1">
      <alignment vertical="center"/>
    </xf>
    <xf numFmtId="10" fontId="0" fillId="12" borderId="4" xfId="2" applyNumberFormat="1" applyFont="1" applyFill="1" applyBorder="1" applyAlignment="1" applyProtection="1">
      <alignment vertical="center"/>
    </xf>
    <xf numFmtId="4" fontId="0" fillId="12" borderId="4" xfId="0" applyNumberFormat="1" applyFont="1" applyFill="1" applyBorder="1" applyAlignment="1" applyProtection="1">
      <alignment horizontal="center" vertical="center"/>
    </xf>
    <xf numFmtId="4" fontId="39" fillId="12" borderId="12" xfId="0" applyNumberFormat="1" applyFont="1" applyFill="1" applyBorder="1" applyAlignment="1" applyProtection="1">
      <alignment horizontal="center" vertical="center" wrapText="1"/>
    </xf>
    <xf numFmtId="184" fontId="0" fillId="12" borderId="12" xfId="0" applyNumberFormat="1" applyFont="1" applyFill="1" applyBorder="1" applyAlignment="1" applyProtection="1">
      <alignment vertical="center"/>
    </xf>
    <xf numFmtId="184" fontId="0" fillId="12" borderId="12" xfId="0" applyNumberFormat="1" applyFont="1" applyFill="1" applyBorder="1" applyAlignment="1" applyProtection="1">
      <alignment horizontal="right" vertical="center" wrapText="1"/>
    </xf>
    <xf numFmtId="184" fontId="0" fillId="0" borderId="44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Fill="1" applyBorder="1" applyAlignment="1" applyProtection="1">
      <alignment vertical="center"/>
    </xf>
    <xf numFmtId="4" fontId="0" fillId="0" borderId="44" xfId="0" applyNumberFormat="1" applyFont="1" applyFill="1" applyBorder="1" applyAlignment="1" applyProtection="1">
      <alignment vertical="center"/>
    </xf>
    <xf numFmtId="184" fontId="0" fillId="0" borderId="44" xfId="0" applyNumberFormat="1" applyFont="1" applyFill="1" applyBorder="1" applyAlignment="1" applyProtection="1">
      <alignment vertical="center"/>
    </xf>
    <xf numFmtId="10" fontId="0" fillId="0" borderId="44" xfId="2" applyNumberFormat="1" applyFont="1" applyFill="1" applyBorder="1" applyAlignment="1" applyProtection="1">
      <alignment vertical="center"/>
    </xf>
    <xf numFmtId="4" fontId="0" fillId="0" borderId="44" xfId="0" applyNumberFormat="1" applyFont="1" applyFill="1" applyBorder="1" applyAlignment="1" applyProtection="1">
      <alignment horizontal="center" vertical="center"/>
    </xf>
    <xf numFmtId="4" fontId="39" fillId="9" borderId="44" xfId="0" applyNumberFormat="1" applyFont="1" applyFill="1" applyBorder="1" applyAlignment="1" applyProtection="1">
      <alignment horizontal="center" vertical="center" wrapText="1"/>
    </xf>
    <xf numFmtId="184" fontId="0" fillId="0" borderId="5" xfId="0" applyNumberFormat="1" applyFont="1" applyFill="1" applyBorder="1" applyAlignment="1" applyProtection="1">
      <alignment vertical="center"/>
    </xf>
    <xf numFmtId="184" fontId="0" fillId="9" borderId="25" xfId="0" applyNumberFormat="1" applyFont="1" applyFill="1" applyBorder="1" applyAlignment="1" applyProtection="1">
      <alignment vertical="center"/>
    </xf>
    <xf numFmtId="49" fontId="54" fillId="9" borderId="133" xfId="0" applyNumberFormat="1" applyFont="1" applyFill="1" applyBorder="1" applyAlignment="1" applyProtection="1">
      <alignment horizontal="left" vertical="center"/>
    </xf>
    <xf numFmtId="0" fontId="39" fillId="0" borderId="44" xfId="0" applyFont="1" applyFill="1" applyBorder="1" applyAlignment="1" applyProtection="1">
      <alignment horizontal="justify" vertical="center" wrapText="1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4" fontId="0" fillId="9" borderId="5" xfId="0" applyNumberFormat="1" applyFont="1" applyFill="1" applyBorder="1" applyAlignment="1" applyProtection="1">
      <alignment horizontal="right" vertical="center" wrapText="1"/>
    </xf>
    <xf numFmtId="184" fontId="0" fillId="9" borderId="5" xfId="0" applyNumberFormat="1" applyFont="1" applyFill="1" applyBorder="1" applyAlignment="1" applyProtection="1">
      <alignment horizontal="right" vertical="center" wrapText="1"/>
    </xf>
    <xf numFmtId="10" fontId="0" fillId="9" borderId="5" xfId="2" applyNumberFormat="1" applyFont="1" applyFill="1" applyBorder="1" applyAlignment="1" applyProtection="1">
      <alignment horizontal="right" vertical="center" wrapText="1"/>
    </xf>
    <xf numFmtId="4" fontId="0" fillId="9" borderId="5" xfId="0" applyNumberFormat="1" applyFont="1" applyFill="1" applyBorder="1" applyAlignment="1" applyProtection="1">
      <alignment horizontal="center" vertical="center" wrapText="1"/>
    </xf>
    <xf numFmtId="184" fontId="0" fillId="9" borderId="44" xfId="0" applyNumberFormat="1" applyFont="1" applyFill="1" applyBorder="1" applyAlignment="1" applyProtection="1">
      <alignment horizontal="right" vertical="center" wrapText="1"/>
    </xf>
    <xf numFmtId="4" fontId="0" fillId="9" borderId="2" xfId="0" applyNumberFormat="1" applyFont="1" applyFill="1" applyBorder="1" applyAlignment="1" applyProtection="1">
      <alignment horizontal="center" vertical="center" wrapText="1"/>
    </xf>
    <xf numFmtId="4" fontId="0" fillId="9" borderId="6" xfId="0" applyNumberFormat="1" applyFont="1" applyFill="1" applyBorder="1" applyAlignment="1" applyProtection="1">
      <alignment horizontal="center" vertical="center" wrapText="1"/>
    </xf>
    <xf numFmtId="184" fontId="0" fillId="12" borderId="0" xfId="0" applyNumberFormat="1" applyFont="1" applyFill="1" applyBorder="1" applyAlignment="1" applyProtection="1">
      <alignment vertical="center"/>
    </xf>
    <xf numFmtId="4" fontId="0" fillId="12" borderId="11" xfId="0" applyNumberFormat="1" applyFont="1" applyFill="1" applyBorder="1" applyAlignment="1" applyProtection="1">
      <alignment vertical="center"/>
    </xf>
    <xf numFmtId="4" fontId="0" fillId="12" borderId="12" xfId="0" applyNumberFormat="1" applyFont="1" applyFill="1" applyBorder="1" applyAlignment="1" applyProtection="1">
      <alignment horizontal="center" vertical="center"/>
    </xf>
    <xf numFmtId="0" fontId="0" fillId="9" borderId="47" xfId="0" applyFont="1" applyFill="1" applyBorder="1" applyAlignment="1" applyProtection="1">
      <alignment horizontal="justify" vertical="center"/>
    </xf>
    <xf numFmtId="4" fontId="0" fillId="9" borderId="47" xfId="0" applyNumberFormat="1" applyFont="1" applyFill="1" applyBorder="1" applyAlignment="1" applyProtection="1">
      <alignment vertical="center"/>
    </xf>
    <xf numFmtId="184" fontId="0" fillId="9" borderId="47" xfId="0" applyNumberFormat="1" applyFont="1" applyFill="1" applyBorder="1" applyAlignment="1" applyProtection="1">
      <alignment vertical="center"/>
    </xf>
    <xf numFmtId="10" fontId="0" fillId="9" borderId="47" xfId="0" applyNumberFormat="1" applyFont="1" applyFill="1" applyBorder="1" applyAlignment="1" applyProtection="1">
      <alignment vertical="center"/>
    </xf>
    <xf numFmtId="4" fontId="0" fillId="9" borderId="47" xfId="0" applyNumberFormat="1" applyFont="1" applyFill="1" applyBorder="1" applyAlignment="1" applyProtection="1">
      <alignment horizontal="center" vertical="center"/>
    </xf>
    <xf numFmtId="4" fontId="39" fillId="9" borderId="48" xfId="0" applyNumberFormat="1" applyFont="1" applyFill="1" applyBorder="1" applyAlignment="1" applyProtection="1">
      <alignment vertical="center"/>
    </xf>
    <xf numFmtId="4" fontId="0" fillId="9" borderId="0" xfId="0" applyNumberFormat="1" applyFont="1" applyFill="1" applyProtection="1"/>
    <xf numFmtId="0" fontId="38" fillId="9" borderId="0" xfId="0" applyFont="1" applyFill="1" applyAlignment="1" applyProtection="1">
      <alignment vertical="center"/>
    </xf>
    <xf numFmtId="0" fontId="47" fillId="9" borderId="0" xfId="0" applyFont="1" applyFill="1" applyProtection="1"/>
    <xf numFmtId="4" fontId="47" fillId="9" borderId="0" xfId="0" applyNumberFormat="1" applyFont="1" applyFill="1" applyProtection="1"/>
    <xf numFmtId="0" fontId="38" fillId="9" borderId="0" xfId="0" applyFont="1" applyFill="1" applyAlignment="1" applyProtection="1">
      <alignment vertical="top"/>
    </xf>
    <xf numFmtId="0" fontId="0" fillId="9" borderId="22" xfId="0" applyFont="1" applyFill="1" applyBorder="1" applyAlignment="1" applyProtection="1">
      <alignment horizontal="center" vertical="center"/>
    </xf>
    <xf numFmtId="0" fontId="0" fillId="9" borderId="47" xfId="0" applyFont="1" applyFill="1" applyBorder="1" applyAlignment="1" applyProtection="1">
      <alignment horizontal="center" vertical="center" wrapText="1"/>
    </xf>
    <xf numFmtId="0" fontId="0" fillId="9" borderId="129" xfId="0" applyFont="1" applyFill="1" applyBorder="1" applyAlignment="1" applyProtection="1">
      <alignment horizontal="center" vertical="center"/>
    </xf>
    <xf numFmtId="4" fontId="0" fillId="9" borderId="22" xfId="0" applyNumberFormat="1" applyFont="1" applyFill="1" applyBorder="1" applyAlignment="1" applyProtection="1">
      <alignment horizontal="center" vertical="center"/>
    </xf>
    <xf numFmtId="0" fontId="0" fillId="9" borderId="22" xfId="0" applyFont="1" applyFill="1" applyBorder="1" applyAlignment="1" applyProtection="1">
      <alignment vertical="center"/>
    </xf>
    <xf numFmtId="185" fontId="0" fillId="9" borderId="22" xfId="0" applyNumberFormat="1" applyFont="1" applyFill="1" applyBorder="1" applyAlignment="1" applyProtection="1">
      <alignment horizontal="center" vertical="center"/>
    </xf>
    <xf numFmtId="184" fontId="0" fillId="9" borderId="22" xfId="0" applyNumberFormat="1" applyFont="1" applyFill="1" applyBorder="1" applyAlignment="1" applyProtection="1">
      <alignment horizontal="right" vertical="center"/>
    </xf>
    <xf numFmtId="184" fontId="0" fillId="9" borderId="22" xfId="0" applyNumberFormat="1" applyFont="1" applyFill="1" applyBorder="1" applyAlignment="1" applyProtection="1">
      <alignment vertical="center"/>
    </xf>
    <xf numFmtId="4" fontId="0" fillId="9" borderId="22" xfId="0" applyNumberFormat="1" applyFont="1" applyFill="1" applyBorder="1" applyAlignment="1" applyProtection="1">
      <alignment vertical="center"/>
    </xf>
    <xf numFmtId="0" fontId="23" fillId="9" borderId="136" xfId="0" applyFont="1" applyFill="1" applyBorder="1" applyAlignment="1" applyProtection="1">
      <alignment horizontal="right" vertical="center"/>
    </xf>
    <xf numFmtId="0" fontId="23" fillId="9" borderId="137" xfId="0" applyFont="1" applyFill="1" applyBorder="1" applyAlignment="1" applyProtection="1">
      <alignment horizontal="left" vertical="center"/>
    </xf>
    <xf numFmtId="0" fontId="0" fillId="9" borderId="67" xfId="0" applyFont="1" applyFill="1" applyBorder="1" applyAlignment="1" applyProtection="1">
      <alignment horizontal="center" vertical="center" wrapText="1"/>
    </xf>
    <xf numFmtId="0" fontId="39" fillId="9" borderId="67" xfId="0" applyFont="1" applyFill="1" applyBorder="1" applyAlignment="1" applyProtection="1">
      <alignment vertical="center" wrapText="1"/>
    </xf>
    <xf numFmtId="0" fontId="0" fillId="9" borderId="67" xfId="0" applyFont="1" applyFill="1" applyBorder="1" applyAlignment="1" applyProtection="1">
      <alignment horizontal="justify" vertical="center"/>
    </xf>
    <xf numFmtId="4" fontId="0" fillId="9" borderId="138" xfId="0" applyNumberFormat="1" applyFont="1" applyFill="1" applyBorder="1" applyAlignment="1" applyProtection="1">
      <alignment vertical="center"/>
    </xf>
    <xf numFmtId="184" fontId="0" fillId="9" borderId="138" xfId="0" applyNumberFormat="1" applyFont="1" applyFill="1" applyBorder="1" applyAlignment="1" applyProtection="1">
      <alignment vertical="center"/>
    </xf>
    <xf numFmtId="185" fontId="0" fillId="9" borderId="138" xfId="2" applyNumberFormat="1" applyFont="1" applyFill="1" applyBorder="1" applyAlignment="1" applyProtection="1">
      <alignment horizontal="center" vertical="center"/>
    </xf>
    <xf numFmtId="184" fontId="0" fillId="9" borderId="138" xfId="0" applyNumberFormat="1" applyFont="1" applyFill="1" applyBorder="1" applyAlignment="1" applyProtection="1">
      <alignment horizontal="right" vertical="center"/>
    </xf>
    <xf numFmtId="184" fontId="0" fillId="9" borderId="138" xfId="0" applyNumberFormat="1" applyFont="1" applyFill="1" applyBorder="1" applyAlignment="1" applyProtection="1">
      <alignment horizontal="center" vertical="center"/>
    </xf>
    <xf numFmtId="4" fontId="0" fillId="9" borderId="73" xfId="0" applyNumberFormat="1" applyFont="1" applyFill="1" applyBorder="1" applyAlignment="1" applyProtection="1">
      <alignment vertical="center"/>
    </xf>
    <xf numFmtId="0" fontId="23" fillId="9" borderId="139" xfId="0" applyFont="1" applyFill="1" applyBorder="1" applyAlignment="1" applyProtection="1">
      <alignment horizontal="right" vertical="center"/>
    </xf>
    <xf numFmtId="0" fontId="23" fillId="9" borderId="140" xfId="0" applyFont="1" applyFill="1" applyBorder="1" applyAlignment="1" applyProtection="1">
      <alignment horizontal="left" vertical="center"/>
    </xf>
    <xf numFmtId="0" fontId="0" fillId="9" borderId="33" xfId="0" applyFont="1" applyFill="1" applyBorder="1" applyAlignment="1" applyProtection="1">
      <alignment horizontal="center" vertical="center" wrapText="1"/>
    </xf>
    <xf numFmtId="0" fontId="39" fillId="9" borderId="33" xfId="0" applyFont="1" applyFill="1" applyBorder="1" applyAlignment="1" applyProtection="1">
      <alignment vertical="center" wrapText="1"/>
    </xf>
    <xf numFmtId="0" fontId="0" fillId="9" borderId="33" xfId="0" applyFont="1" applyFill="1" applyBorder="1" applyAlignment="1" applyProtection="1">
      <alignment horizontal="justify" vertical="center"/>
    </xf>
    <xf numFmtId="4" fontId="0" fillId="9" borderId="34" xfId="0" applyNumberFormat="1" applyFont="1" applyFill="1" applyBorder="1" applyAlignment="1" applyProtection="1">
      <alignment vertical="center"/>
    </xf>
    <xf numFmtId="184" fontId="0" fillId="9" borderId="34" xfId="0" applyNumberFormat="1" applyFont="1" applyFill="1" applyBorder="1" applyAlignment="1" applyProtection="1">
      <alignment vertical="center"/>
    </xf>
    <xf numFmtId="185" fontId="0" fillId="9" borderId="34" xfId="2" applyNumberFormat="1" applyFont="1" applyFill="1" applyBorder="1" applyAlignment="1" applyProtection="1">
      <alignment horizontal="center" vertical="center"/>
    </xf>
    <xf numFmtId="184" fontId="0" fillId="9" borderId="34" xfId="0" applyNumberFormat="1" applyFont="1" applyFill="1" applyBorder="1" applyAlignment="1" applyProtection="1">
      <alignment horizontal="right" vertical="center"/>
    </xf>
    <xf numFmtId="184" fontId="0" fillId="9" borderId="34" xfId="0" applyNumberFormat="1" applyFont="1" applyFill="1" applyBorder="1" applyAlignment="1" applyProtection="1">
      <alignment horizontal="center" vertical="center"/>
    </xf>
    <xf numFmtId="4" fontId="0" fillId="9" borderId="37" xfId="0" applyNumberFormat="1" applyFont="1" applyFill="1" applyBorder="1" applyAlignment="1" applyProtection="1">
      <alignment vertical="center"/>
    </xf>
    <xf numFmtId="0" fontId="23" fillId="9" borderId="30" xfId="0" applyFont="1" applyFill="1" applyBorder="1" applyAlignment="1" applyProtection="1">
      <alignment horizontal="right" vertical="center"/>
    </xf>
    <xf numFmtId="0" fontId="23" fillId="9" borderId="141" xfId="0" applyFont="1" applyFill="1" applyBorder="1" applyAlignment="1" applyProtection="1">
      <alignment horizontal="left" vertical="center"/>
    </xf>
    <xf numFmtId="0" fontId="0" fillId="9" borderId="142" xfId="0" applyFont="1" applyFill="1" applyBorder="1" applyAlignment="1" applyProtection="1">
      <alignment horizontal="center" vertical="center" wrapText="1"/>
    </xf>
    <xf numFmtId="0" fontId="39" fillId="9" borderId="142" xfId="0" applyFont="1" applyFill="1" applyBorder="1" applyAlignment="1" applyProtection="1">
      <alignment vertical="center" wrapText="1"/>
    </xf>
    <xf numFmtId="0" fontId="0" fillId="9" borderId="142" xfId="0" applyFont="1" applyFill="1" applyBorder="1" applyAlignment="1" applyProtection="1">
      <alignment horizontal="justify" vertical="center"/>
    </xf>
    <xf numFmtId="4" fontId="0" fillId="9" borderId="143" xfId="0" applyNumberFormat="1" applyFont="1" applyFill="1" applyBorder="1" applyAlignment="1" applyProtection="1">
      <alignment vertical="center"/>
    </xf>
    <xf numFmtId="184" fontId="0" fillId="9" borderId="143" xfId="0" applyNumberFormat="1" applyFont="1" applyFill="1" applyBorder="1" applyAlignment="1" applyProtection="1">
      <alignment vertical="center"/>
    </xf>
    <xf numFmtId="184" fontId="0" fillId="12" borderId="143" xfId="0" applyNumberFormat="1" applyFont="1" applyFill="1" applyBorder="1" applyAlignment="1" applyProtection="1">
      <alignment horizontal="center" vertical="center"/>
    </xf>
    <xf numFmtId="184" fontId="0" fillId="12" borderId="141" xfId="0" applyNumberFormat="1" applyFont="1" applyFill="1" applyBorder="1" applyAlignment="1" applyProtection="1">
      <alignment horizontal="right" vertical="center"/>
    </xf>
    <xf numFmtId="184" fontId="0" fillId="9" borderId="143" xfId="0" applyNumberFormat="1" applyFont="1" applyFill="1" applyBorder="1" applyAlignment="1" applyProtection="1">
      <alignment horizontal="center" vertical="center"/>
    </xf>
    <xf numFmtId="4" fontId="0" fillId="9" borderId="144" xfId="0" applyNumberFormat="1" applyFont="1" applyFill="1" applyBorder="1" applyAlignment="1" applyProtection="1">
      <alignment vertical="center"/>
    </xf>
    <xf numFmtId="4" fontId="0" fillId="9" borderId="138" xfId="0" applyNumberFormat="1" applyFont="1" applyFill="1" applyBorder="1" applyAlignment="1" applyProtection="1">
      <alignment vertical="center" wrapText="1"/>
    </xf>
    <xf numFmtId="4" fontId="0" fillId="9" borderId="34" xfId="0" applyNumberFormat="1" applyFont="1" applyFill="1" applyBorder="1" applyAlignment="1" applyProtection="1">
      <alignment vertical="center" wrapText="1"/>
    </xf>
    <xf numFmtId="4" fontId="0" fillId="9" borderId="143" xfId="0" applyNumberFormat="1" applyFont="1" applyFill="1" applyBorder="1" applyAlignment="1" applyProtection="1">
      <alignment vertical="center" wrapText="1"/>
    </xf>
    <xf numFmtId="0" fontId="0" fillId="9" borderId="67" xfId="0" applyFont="1" applyFill="1" applyBorder="1" applyAlignment="1" applyProtection="1">
      <alignment horizontal="justify" vertical="center" wrapText="1"/>
    </xf>
    <xf numFmtId="0" fontId="0" fillId="9" borderId="33" xfId="0" applyFont="1" applyFill="1" applyBorder="1" applyAlignment="1" applyProtection="1">
      <alignment horizontal="justify" vertical="center" wrapText="1"/>
    </xf>
    <xf numFmtId="0" fontId="0" fillId="9" borderId="142" xfId="0" applyFont="1" applyFill="1" applyBorder="1" applyAlignment="1" applyProtection="1">
      <alignment horizontal="justify" vertical="center" wrapText="1"/>
    </xf>
    <xf numFmtId="185" fontId="0" fillId="9" borderId="47" xfId="0" applyNumberFormat="1" applyFont="1" applyFill="1" applyBorder="1" applyAlignment="1" applyProtection="1">
      <alignment horizontal="center" vertical="center"/>
    </xf>
    <xf numFmtId="184" fontId="0" fillId="9" borderId="47" xfId="0" applyNumberFormat="1" applyFont="1" applyFill="1" applyBorder="1" applyAlignment="1" applyProtection="1">
      <alignment horizontal="right" vertical="center"/>
    </xf>
    <xf numFmtId="184" fontId="0" fillId="9" borderId="47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8" fillId="9" borderId="0" xfId="0" applyFont="1" applyFill="1" applyProtection="1"/>
    <xf numFmtId="0" fontId="58" fillId="0" borderId="0" xfId="0" applyFont="1" applyProtection="1"/>
    <xf numFmtId="0" fontId="0" fillId="0" borderId="0" xfId="0" applyFill="1" applyBorder="1" applyProtection="1"/>
    <xf numFmtId="0" fontId="39" fillId="9" borderId="0" xfId="0" applyFont="1" applyFill="1" applyProtection="1"/>
    <xf numFmtId="0" fontId="39" fillId="9" borderId="0" xfId="0" applyFont="1" applyFill="1" applyBorder="1" applyAlignment="1" applyProtection="1">
      <alignment vertical="center"/>
    </xf>
    <xf numFmtId="0" fontId="39" fillId="9" borderId="46" xfId="0" applyFont="1" applyFill="1" applyBorder="1" applyAlignment="1" applyProtection="1">
      <alignment vertical="center"/>
    </xf>
    <xf numFmtId="0" fontId="39" fillId="9" borderId="46" xfId="0" applyFont="1" applyFill="1" applyBorder="1" applyProtection="1"/>
    <xf numFmtId="0" fontId="39" fillId="0" borderId="0" xfId="0" applyFont="1" applyProtection="1"/>
    <xf numFmtId="0" fontId="23" fillId="12" borderId="50" xfId="0" applyFont="1" applyFill="1" applyBorder="1" applyAlignment="1" applyProtection="1">
      <alignment vertical="center" wrapText="1"/>
    </xf>
    <xf numFmtId="0" fontId="38" fillId="12" borderId="28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38" fillId="9" borderId="52" xfId="0" applyFont="1" applyFill="1" applyBorder="1" applyAlignment="1" applyProtection="1">
      <alignment horizontal="left" vertical="center" wrapText="1"/>
    </xf>
    <xf numFmtId="0" fontId="38" fillId="9" borderId="16" xfId="0" applyFont="1" applyFill="1" applyBorder="1" applyAlignment="1" applyProtection="1">
      <alignment horizontal="center" vertical="center" wrapText="1"/>
    </xf>
    <xf numFmtId="0" fontId="38" fillId="9" borderId="57" xfId="0" applyFont="1" applyFill="1" applyBorder="1" applyAlignment="1" applyProtection="1">
      <alignment horizontal="center" vertical="center" wrapText="1"/>
    </xf>
    <xf numFmtId="0" fontId="23" fillId="9" borderId="145" xfId="0" applyFont="1" applyFill="1" applyBorder="1" applyAlignment="1" applyProtection="1">
      <alignment horizontal="center" vertical="center" wrapText="1"/>
    </xf>
    <xf numFmtId="0" fontId="38" fillId="0" borderId="61" xfId="0" applyFont="1" applyFill="1" applyBorder="1" applyAlignment="1" applyProtection="1">
      <alignment horizontal="center" vertical="center" wrapText="1"/>
    </xf>
    <xf numFmtId="0" fontId="60" fillId="9" borderId="146" xfId="0" applyFont="1" applyFill="1" applyBorder="1" applyAlignment="1" applyProtection="1">
      <alignment horizontal="center" vertical="center" wrapText="1"/>
    </xf>
    <xf numFmtId="0" fontId="0" fillId="9" borderId="147" xfId="0" applyFont="1" applyFill="1" applyBorder="1" applyAlignment="1" applyProtection="1">
      <alignment horizontal="left" vertical="center"/>
    </xf>
    <xf numFmtId="0" fontId="0" fillId="9" borderId="117" xfId="0" applyFont="1" applyFill="1" applyBorder="1" applyAlignment="1" applyProtection="1">
      <alignment horizontal="left" vertical="center"/>
    </xf>
    <xf numFmtId="10" fontId="0" fillId="9" borderId="67" xfId="0" applyNumberFormat="1" applyFont="1" applyFill="1" applyBorder="1" applyAlignment="1" applyProtection="1">
      <alignment horizontal="center" vertical="center" wrapText="1"/>
    </xf>
    <xf numFmtId="10" fontId="0" fillId="9" borderId="138" xfId="0" applyNumberFormat="1" applyFont="1" applyFill="1" applyBorder="1" applyAlignment="1" applyProtection="1">
      <alignment horizontal="center" vertical="center" wrapText="1"/>
    </xf>
    <xf numFmtId="10" fontId="0" fillId="11" borderId="149" xfId="0" applyNumberFormat="1" applyFont="1" applyFill="1" applyBorder="1" applyAlignment="1" applyProtection="1">
      <alignment horizontal="center" vertical="center"/>
      <protection locked="0"/>
    </xf>
    <xf numFmtId="10" fontId="0" fillId="0" borderId="73" xfId="2" applyNumberFormat="1" applyFont="1" applyFill="1" applyBorder="1" applyAlignment="1" applyProtection="1">
      <alignment horizontal="center" vertical="center" wrapText="1"/>
    </xf>
    <xf numFmtId="0" fontId="60" fillId="9" borderId="150" xfId="0" applyFont="1" applyFill="1" applyBorder="1" applyAlignment="1" applyProtection="1">
      <alignment horizontal="center" vertical="center" wrapText="1"/>
    </xf>
    <xf numFmtId="0" fontId="0" fillId="9" borderId="111" xfId="0" applyFont="1" applyFill="1" applyBorder="1" applyAlignment="1" applyProtection="1">
      <alignment horizontal="left" vertical="center"/>
    </xf>
    <xf numFmtId="10" fontId="0" fillId="9" borderId="111" xfId="0" applyNumberFormat="1" applyFont="1" applyFill="1" applyBorder="1" applyAlignment="1" applyProtection="1">
      <alignment horizontal="right" vertical="center" wrapText="1"/>
    </xf>
    <xf numFmtId="10" fontId="0" fillId="9" borderId="140" xfId="0" applyNumberFormat="1" applyFont="1" applyFill="1" applyBorder="1" applyAlignment="1" applyProtection="1">
      <alignment horizontal="left" vertical="center" wrapText="1"/>
    </xf>
    <xf numFmtId="10" fontId="0" fillId="9" borderId="33" xfId="0" applyNumberFormat="1" applyFont="1" applyFill="1" applyBorder="1" applyAlignment="1" applyProtection="1">
      <alignment horizontal="center" vertical="center" wrapText="1"/>
    </xf>
    <xf numFmtId="10" fontId="0" fillId="9" borderId="34" xfId="0" applyNumberFormat="1" applyFont="1" applyFill="1" applyBorder="1" applyAlignment="1" applyProtection="1">
      <alignment horizontal="center" vertical="center" wrapText="1"/>
    </xf>
    <xf numFmtId="10" fontId="0" fillId="11" borderId="151" xfId="0" applyNumberFormat="1" applyFont="1" applyFill="1" applyBorder="1" applyAlignment="1" applyProtection="1">
      <alignment horizontal="center" vertical="center"/>
      <protection locked="0"/>
    </xf>
    <xf numFmtId="10" fontId="0" fillId="0" borderId="37" xfId="2" applyNumberFormat="1" applyFont="1" applyFill="1" applyBorder="1" applyAlignment="1" applyProtection="1">
      <alignment horizontal="center" vertical="center" wrapText="1"/>
    </xf>
    <xf numFmtId="0" fontId="60" fillId="9" borderId="152" xfId="0" applyFont="1" applyFill="1" applyBorder="1" applyAlignment="1" applyProtection="1">
      <alignment horizontal="center" vertical="center" wrapText="1"/>
    </xf>
    <xf numFmtId="0" fontId="0" fillId="9" borderId="153" xfId="0" applyFont="1" applyFill="1" applyBorder="1" applyAlignment="1" applyProtection="1">
      <alignment vertical="center" wrapText="1"/>
    </xf>
    <xf numFmtId="0" fontId="0" fillId="9" borderId="107" xfId="0" applyFont="1" applyFill="1" applyBorder="1" applyAlignment="1" applyProtection="1">
      <alignment vertical="center" wrapText="1"/>
    </xf>
    <xf numFmtId="10" fontId="0" fillId="9" borderId="141" xfId="0" applyNumberFormat="1" applyFont="1" applyFill="1" applyBorder="1" applyAlignment="1" applyProtection="1">
      <alignment horizontal="left" vertical="center" wrapText="1"/>
    </xf>
    <xf numFmtId="10" fontId="0" fillId="9" borderId="142" xfId="0" applyNumberFormat="1" applyFont="1" applyFill="1" applyBorder="1" applyAlignment="1" applyProtection="1">
      <alignment horizontal="center" vertical="center" wrapText="1"/>
    </xf>
    <xf numFmtId="10" fontId="0" fillId="9" borderId="14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9" borderId="39" xfId="0" applyFill="1" applyBorder="1" applyAlignment="1" applyProtection="1">
      <alignment horizontal="center" vertical="center" wrapText="1"/>
    </xf>
    <xf numFmtId="0" fontId="0" fillId="9" borderId="4" xfId="0" applyFont="1" applyFill="1" applyBorder="1" applyAlignment="1" applyProtection="1">
      <alignment horizontal="right" vertical="center"/>
    </xf>
    <xf numFmtId="0" fontId="38" fillId="9" borderId="133" xfId="0" applyFont="1" applyFill="1" applyBorder="1" applyAlignment="1" applyProtection="1">
      <alignment horizontal="right" vertical="center"/>
    </xf>
    <xf numFmtId="10" fontId="38" fillId="9" borderId="5" xfId="0" applyNumberFormat="1" applyFont="1" applyFill="1" applyBorder="1" applyAlignment="1" applyProtection="1">
      <alignment horizontal="center" vertical="center" wrapText="1"/>
    </xf>
    <xf numFmtId="10" fontId="38" fillId="9" borderId="44" xfId="0" applyNumberFormat="1" applyFont="1" applyFill="1" applyBorder="1" applyAlignment="1" applyProtection="1">
      <alignment horizontal="center" vertical="center" wrapText="1"/>
    </xf>
    <xf numFmtId="10" fontId="38" fillId="9" borderId="154" xfId="0" applyNumberFormat="1" applyFont="1" applyFill="1" applyBorder="1" applyAlignment="1" applyProtection="1">
      <alignment horizontal="center" vertical="center" wrapText="1"/>
    </xf>
    <xf numFmtId="10" fontId="38" fillId="0" borderId="25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 wrapText="1"/>
    </xf>
    <xf numFmtId="167" fontId="0" fillId="0" borderId="0" xfId="0" applyNumberFormat="1" applyFont="1" applyAlignment="1" applyProtection="1">
      <alignment vertical="center" wrapText="1"/>
    </xf>
    <xf numFmtId="167" fontId="0" fillId="0" borderId="0" xfId="0" applyNumberFormat="1" applyFont="1" applyAlignment="1" applyProtection="1">
      <alignment wrapText="1"/>
    </xf>
    <xf numFmtId="0" fontId="0" fillId="9" borderId="49" xfId="0" applyFill="1" applyBorder="1" applyAlignment="1" applyProtection="1">
      <alignment horizontal="center" vertical="center" wrapText="1"/>
    </xf>
    <xf numFmtId="0" fontId="0" fillId="9" borderId="47" xfId="0" applyFont="1" applyFill="1" applyBorder="1" applyAlignment="1" applyProtection="1">
      <alignment vertical="center" wrapText="1"/>
    </xf>
    <xf numFmtId="0" fontId="0" fillId="9" borderId="47" xfId="0" applyFont="1" applyFill="1" applyBorder="1" applyAlignment="1" applyProtection="1">
      <alignment horizontal="center" vertical="center"/>
    </xf>
    <xf numFmtId="10" fontId="47" fillId="9" borderId="47" xfId="2" applyNumberFormat="1" applyFont="1" applyFill="1" applyBorder="1" applyAlignment="1" applyProtection="1">
      <alignment horizontal="center" vertical="center"/>
    </xf>
    <xf numFmtId="10" fontId="0" fillId="9" borderId="47" xfId="2" applyNumberFormat="1" applyFont="1" applyFill="1" applyBorder="1" applyAlignment="1" applyProtection="1">
      <alignment horizontal="center" vertical="center"/>
    </xf>
    <xf numFmtId="0" fontId="47" fillId="9" borderId="47" xfId="0" applyFont="1" applyFill="1" applyBorder="1" applyAlignment="1" applyProtection="1">
      <alignment horizontal="center" vertical="center" wrapText="1"/>
    </xf>
    <xf numFmtId="10" fontId="0" fillId="9" borderId="48" xfId="2" applyNumberFormat="1" applyFont="1" applyFill="1" applyBorder="1" applyAlignment="1" applyProtection="1">
      <alignment horizontal="center" vertical="center" wrapText="1"/>
    </xf>
    <xf numFmtId="0" fontId="38" fillId="9" borderId="59" xfId="0" applyFont="1" applyFill="1" applyBorder="1" applyAlignment="1" applyProtection="1">
      <alignment horizontal="center" vertical="center" wrapText="1"/>
    </xf>
    <xf numFmtId="0" fontId="38" fillId="9" borderId="53" xfId="0" applyFont="1" applyFill="1" applyBorder="1" applyAlignment="1" applyProtection="1">
      <alignment horizontal="center" vertical="center" wrapText="1"/>
    </xf>
    <xf numFmtId="184" fontId="0" fillId="0" borderId="0" xfId="0" applyNumberFormat="1" applyFont="1" applyAlignment="1" applyProtection="1">
      <alignment vertical="center" wrapText="1"/>
    </xf>
    <xf numFmtId="4" fontId="0" fillId="0" borderId="0" xfId="0" applyNumberFormat="1" applyFont="1" applyAlignment="1" applyProtection="1">
      <alignment wrapText="1"/>
    </xf>
    <xf numFmtId="0" fontId="60" fillId="9" borderId="38" xfId="0" applyFont="1" applyFill="1" applyBorder="1" applyAlignment="1" applyProtection="1">
      <alignment horizontal="center" vertical="center" wrapText="1"/>
    </xf>
    <xf numFmtId="0" fontId="0" fillId="9" borderId="4" xfId="0" applyFont="1" applyFill="1" applyBorder="1" applyAlignment="1" applyProtection="1">
      <alignment vertical="center"/>
    </xf>
    <xf numFmtId="10" fontId="0" fillId="9" borderId="2" xfId="2" applyNumberFormat="1" applyFont="1" applyFill="1" applyBorder="1" applyAlignment="1" applyProtection="1">
      <alignment horizontal="center" vertical="center" wrapText="1"/>
    </xf>
    <xf numFmtId="10" fontId="0" fillId="9" borderId="6" xfId="2" applyNumberFormat="1" applyFont="1" applyFill="1" applyBorder="1" applyAlignment="1" applyProtection="1">
      <alignment horizontal="center" vertical="center" wrapText="1"/>
    </xf>
    <xf numFmtId="10" fontId="0" fillId="11" borderId="78" xfId="2" applyNumberFormat="1" applyFont="1" applyFill="1" applyBorder="1" applyAlignment="1" applyProtection="1">
      <alignment horizontal="center" vertical="center"/>
      <protection locked="0"/>
    </xf>
    <xf numFmtId="10" fontId="0" fillId="0" borderId="36" xfId="2" applyNumberFormat="1" applyFont="1" applyFill="1" applyBorder="1" applyAlignment="1" applyProtection="1">
      <alignment horizontal="center" vertical="center" wrapText="1"/>
    </xf>
    <xf numFmtId="0" fontId="0" fillId="9" borderId="39" xfId="0" applyFont="1" applyFill="1" applyBorder="1" applyAlignment="1" applyProtection="1">
      <alignment horizontal="center" vertical="center" wrapText="1"/>
    </xf>
    <xf numFmtId="10" fontId="38" fillId="9" borderId="5" xfId="2" applyNumberFormat="1" applyFont="1" applyFill="1" applyBorder="1" applyAlignment="1" applyProtection="1">
      <alignment horizontal="center" vertical="center" wrapText="1"/>
    </xf>
    <xf numFmtId="10" fontId="38" fillId="9" borderId="44" xfId="2" applyNumberFormat="1" applyFont="1" applyFill="1" applyBorder="1" applyAlignment="1" applyProtection="1">
      <alignment horizontal="center" vertical="center" wrapText="1"/>
    </xf>
    <xf numFmtId="10" fontId="38" fillId="9" borderId="154" xfId="2" applyNumberFormat="1" applyFont="1" applyFill="1" applyBorder="1" applyAlignment="1" applyProtection="1">
      <alignment horizontal="center" vertical="center" wrapText="1"/>
    </xf>
    <xf numFmtId="0" fontId="47" fillId="9" borderId="47" xfId="0" applyFont="1" applyFill="1" applyBorder="1" applyAlignment="1" applyProtection="1">
      <alignment vertical="center" wrapText="1"/>
    </xf>
    <xf numFmtId="0" fontId="0" fillId="9" borderId="147" xfId="0" applyFont="1" applyFill="1" applyBorder="1" applyAlignment="1" applyProtection="1">
      <alignment vertical="center"/>
    </xf>
    <xf numFmtId="0" fontId="0" fillId="9" borderId="157" xfId="0" applyFont="1" applyFill="1" applyBorder="1" applyAlignment="1" applyProtection="1">
      <alignment vertical="center"/>
    </xf>
    <xf numFmtId="0" fontId="0" fillId="9" borderId="117" xfId="0" applyFill="1" applyBorder="1" applyAlignment="1" applyProtection="1">
      <alignment vertical="center" wrapText="1"/>
    </xf>
    <xf numFmtId="0" fontId="47" fillId="9" borderId="103" xfId="0" applyFont="1" applyFill="1" applyBorder="1" applyAlignment="1" applyProtection="1">
      <alignment horizontal="center" vertical="center"/>
    </xf>
    <xf numFmtId="10" fontId="0" fillId="9" borderId="117" xfId="0" applyNumberFormat="1" applyFill="1" applyBorder="1" applyAlignment="1" applyProtection="1">
      <alignment horizontal="right" vertical="center"/>
    </xf>
    <xf numFmtId="10" fontId="0" fillId="9" borderId="151" xfId="0" applyNumberFormat="1" applyFont="1" applyFill="1" applyBorder="1" applyAlignment="1" applyProtection="1">
      <alignment horizontal="center" vertical="center" wrapText="1"/>
    </xf>
    <xf numFmtId="0" fontId="0" fillId="9" borderId="111" xfId="0" applyFont="1" applyFill="1" applyBorder="1" applyAlignment="1" applyProtection="1">
      <alignment vertical="center"/>
    </xf>
    <xf numFmtId="0" fontId="0" fillId="9" borderId="110" xfId="0" applyFont="1" applyFill="1" applyBorder="1" applyAlignment="1" applyProtection="1">
      <alignment vertical="center"/>
    </xf>
    <xf numFmtId="0" fontId="0" fillId="9" borderId="103" xfId="0" applyFill="1" applyBorder="1" applyAlignment="1" applyProtection="1">
      <alignment vertical="center" wrapText="1"/>
    </xf>
    <xf numFmtId="10" fontId="0" fillId="9" borderId="103" xfId="0" applyNumberFormat="1" applyFill="1" applyBorder="1" applyAlignment="1" applyProtection="1">
      <alignment horizontal="right" vertical="center"/>
    </xf>
    <xf numFmtId="0" fontId="0" fillId="9" borderId="158" xfId="0" applyFont="1" applyFill="1" applyBorder="1" applyAlignment="1" applyProtection="1">
      <alignment vertical="center"/>
    </xf>
    <xf numFmtId="0" fontId="47" fillId="9" borderId="125" xfId="0" applyFont="1" applyFill="1" applyBorder="1" applyAlignment="1" applyProtection="1">
      <alignment horizontal="right" vertical="center"/>
    </xf>
    <xf numFmtId="10" fontId="0" fillId="11" borderId="111" xfId="2" applyNumberFormat="1" applyFont="1" applyFill="1" applyBorder="1" applyAlignment="1" applyProtection="1">
      <alignment horizontal="right" vertical="center" wrapText="1"/>
      <protection locked="0"/>
    </xf>
    <xf numFmtId="0" fontId="0" fillId="9" borderId="140" xfId="0" applyFont="1" applyFill="1" applyBorder="1" applyAlignment="1" applyProtection="1">
      <alignment horizontal="left" vertical="center" wrapText="1"/>
    </xf>
    <xf numFmtId="10" fontId="0" fillId="9" borderId="158" xfId="0" applyNumberFormat="1" applyFont="1" applyFill="1" applyBorder="1" applyAlignment="1" applyProtection="1">
      <alignment horizontal="right" vertical="center"/>
    </xf>
    <xf numFmtId="10" fontId="0" fillId="9" borderId="159" xfId="0" applyNumberFormat="1" applyFont="1" applyFill="1" applyBorder="1" applyAlignment="1" applyProtection="1">
      <alignment horizontal="left" vertical="center" wrapText="1"/>
    </xf>
    <xf numFmtId="0" fontId="0" fillId="9" borderId="113" xfId="0" applyFont="1" applyFill="1" applyBorder="1" applyAlignment="1" applyProtection="1">
      <alignment horizontal="right" vertical="center" wrapText="1"/>
    </xf>
    <xf numFmtId="0" fontId="47" fillId="9" borderId="113" xfId="0" applyFont="1" applyFill="1" applyBorder="1" applyAlignment="1" applyProtection="1">
      <alignment horizontal="center" vertical="center"/>
    </xf>
    <xf numFmtId="10" fontId="0" fillId="9" borderId="160" xfId="0" applyNumberFormat="1" applyFont="1" applyFill="1" applyBorder="1" applyAlignment="1" applyProtection="1">
      <alignment horizontal="center" vertical="center" wrapText="1"/>
    </xf>
    <xf numFmtId="10" fontId="0" fillId="0" borderId="161" xfId="2" applyNumberFormat="1" applyFont="1" applyFill="1" applyBorder="1" applyAlignment="1" applyProtection="1">
      <alignment horizontal="center" vertical="center" wrapText="1"/>
    </xf>
    <xf numFmtId="0" fontId="60" fillId="9" borderId="49" xfId="0" applyFont="1" applyFill="1" applyBorder="1" applyAlignment="1" applyProtection="1">
      <alignment vertical="center" wrapText="1"/>
    </xf>
    <xf numFmtId="0" fontId="38" fillId="0" borderId="65" xfId="0" applyFont="1" applyFill="1" applyBorder="1" applyAlignment="1" applyProtection="1">
      <alignment horizontal="right" vertical="center"/>
    </xf>
    <xf numFmtId="0" fontId="38" fillId="12" borderId="132" xfId="0" applyFont="1" applyFill="1" applyBorder="1" applyAlignment="1" applyProtection="1">
      <alignment vertical="center"/>
    </xf>
    <xf numFmtId="10" fontId="38" fillId="12" borderId="47" xfId="2" applyNumberFormat="1" applyFont="1" applyFill="1" applyBorder="1" applyAlignment="1" applyProtection="1">
      <alignment horizontal="right" vertical="center"/>
    </xf>
    <xf numFmtId="10" fontId="38" fillId="12" borderId="47" xfId="2" applyNumberFormat="1" applyFont="1" applyFill="1" applyBorder="1" applyAlignment="1" applyProtection="1">
      <alignment vertical="center"/>
    </xf>
    <xf numFmtId="10" fontId="38" fillId="9" borderId="162" xfId="0" applyNumberFormat="1" applyFont="1" applyFill="1" applyBorder="1" applyAlignment="1" applyProtection="1">
      <alignment horizontal="center" vertical="center" wrapText="1"/>
    </xf>
    <xf numFmtId="186" fontId="0" fillId="0" borderId="0" xfId="0" applyNumberFormat="1" applyAlignment="1" applyProtection="1">
      <alignment wrapText="1"/>
    </xf>
    <xf numFmtId="0" fontId="0" fillId="9" borderId="43" xfId="0" applyFill="1" applyBorder="1" applyAlignment="1" applyProtection="1">
      <alignment horizontal="center" vertical="center" wrapText="1"/>
    </xf>
    <xf numFmtId="0" fontId="0" fillId="9" borderId="0" xfId="0" applyFont="1" applyFill="1" applyBorder="1" applyAlignment="1" applyProtection="1">
      <alignment vertical="center" wrapText="1"/>
    </xf>
    <xf numFmtId="10" fontId="47" fillId="9" borderId="0" xfId="2" applyNumberFormat="1" applyFont="1" applyFill="1" applyBorder="1" applyAlignment="1" applyProtection="1">
      <alignment horizontal="right" vertical="center"/>
    </xf>
    <xf numFmtId="10" fontId="0" fillId="9" borderId="0" xfId="2" applyNumberFormat="1" applyFont="1" applyFill="1" applyBorder="1" applyAlignment="1" applyProtection="1">
      <alignment horizontal="center" vertical="center"/>
    </xf>
    <xf numFmtId="0" fontId="47" fillId="9" borderId="0" xfId="0" applyFont="1" applyFill="1" applyBorder="1" applyAlignment="1" applyProtection="1">
      <alignment vertical="center" wrapText="1"/>
    </xf>
    <xf numFmtId="10" fontId="0" fillId="9" borderId="56" xfId="2" applyNumberFormat="1" applyFont="1" applyFill="1" applyBorder="1" applyAlignment="1" applyProtection="1">
      <alignment horizontal="center" vertical="center" wrapText="1"/>
    </xf>
    <xf numFmtId="0" fontId="23" fillId="9" borderId="43" xfId="0" applyFont="1" applyFill="1" applyBorder="1" applyAlignment="1" applyProtection="1">
      <alignment horizontal="left" vertical="center"/>
    </xf>
    <xf numFmtId="0" fontId="38" fillId="9" borderId="134" xfId="0" applyFont="1" applyFill="1" applyBorder="1" applyAlignment="1" applyProtection="1">
      <alignment horizontal="center" vertical="center" wrapText="1"/>
    </xf>
    <xf numFmtId="10" fontId="23" fillId="0" borderId="5" xfId="22" applyNumberFormat="1" applyFont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wrapText="1"/>
    </xf>
    <xf numFmtId="0" fontId="11" fillId="9" borderId="0" xfId="0" applyFont="1" applyFill="1" applyAlignment="1" applyProtection="1">
      <alignment vertical="center"/>
    </xf>
    <xf numFmtId="10" fontId="23" fillId="9" borderId="135" xfId="0" applyNumberFormat="1" applyFont="1" applyFill="1" applyBorder="1" applyAlignment="1" applyProtection="1">
      <alignment horizontal="center" vertical="center" wrapText="1"/>
    </xf>
    <xf numFmtId="10" fontId="23" fillId="9" borderId="63" xfId="2" applyNumberFormat="1" applyFont="1" applyFill="1" applyBorder="1" applyAlignment="1" applyProtection="1">
      <alignment horizontal="center" vertical="center" wrapText="1"/>
    </xf>
    <xf numFmtId="10" fontId="0" fillId="9" borderId="0" xfId="0" applyNumberFormat="1" applyFont="1" applyFill="1" applyBorder="1" applyAlignment="1" applyProtection="1">
      <alignment horizontal="center" vertical="center" wrapText="1"/>
    </xf>
    <xf numFmtId="10" fontId="0" fillId="9" borderId="0" xfId="2" applyNumberFormat="1" applyFont="1" applyFill="1" applyBorder="1" applyAlignment="1" applyProtection="1">
      <alignment horizontal="center" vertical="center" wrapText="1"/>
    </xf>
    <xf numFmtId="10" fontId="47" fillId="9" borderId="46" xfId="2" applyNumberFormat="1" applyFont="1" applyFill="1" applyBorder="1" applyAlignment="1" applyProtection="1">
      <alignment horizontal="right" vertical="center"/>
    </xf>
    <xf numFmtId="0" fontId="0" fillId="9" borderId="50" xfId="0" applyFill="1" applyBorder="1" applyAlignment="1" applyProtection="1">
      <alignment horizontal="center" vertical="center" wrapText="1"/>
    </xf>
    <xf numFmtId="0" fontId="23" fillId="9" borderId="51" xfId="0" applyFont="1" applyFill="1" applyBorder="1" applyAlignment="1" applyProtection="1">
      <alignment vertical="center"/>
    </xf>
    <xf numFmtId="0" fontId="23" fillId="9" borderId="51" xfId="0" applyFont="1" applyFill="1" applyBorder="1" applyAlignment="1" applyProtection="1">
      <alignment vertical="center" wrapText="1"/>
    </xf>
    <xf numFmtId="0" fontId="16" fillId="9" borderId="51" xfId="0" applyFont="1" applyFill="1" applyBorder="1" applyAlignment="1" applyProtection="1">
      <alignment horizontal="right" vertical="center"/>
    </xf>
    <xf numFmtId="0" fontId="0" fillId="9" borderId="0" xfId="0" applyFill="1" applyAlignment="1" applyProtection="1">
      <alignment wrapText="1"/>
    </xf>
    <xf numFmtId="0" fontId="0" fillId="9" borderId="0" xfId="0" applyFill="1" applyAlignment="1" applyProtection="1">
      <alignment vertical="center" wrapText="1"/>
    </xf>
    <xf numFmtId="10" fontId="0" fillId="9" borderId="0" xfId="2" applyNumberFormat="1" applyFont="1" applyFill="1" applyBorder="1" applyAlignment="1" applyProtection="1">
      <alignment vertical="center" wrapText="1"/>
    </xf>
    <xf numFmtId="4" fontId="74" fillId="9" borderId="0" xfId="22" applyNumberFormat="1" applyFill="1" applyBorder="1" applyProtection="1"/>
    <xf numFmtId="0" fontId="23" fillId="9" borderId="0" xfId="0" applyFont="1" applyFill="1" applyAlignment="1" applyProtection="1">
      <alignment horizontal="right" vertical="center"/>
    </xf>
    <xf numFmtId="0" fontId="37" fillId="9" borderId="0" xfId="0" applyFont="1" applyFill="1" applyAlignment="1" applyProtection="1">
      <alignment horizontal="left" vertical="center"/>
    </xf>
    <xf numFmtId="0" fontId="0" fillId="9" borderId="0" xfId="0" applyFont="1" applyFill="1" applyAlignment="1" applyProtection="1">
      <alignment horizontal="left" vertical="center"/>
    </xf>
    <xf numFmtId="0" fontId="0" fillId="9" borderId="0" xfId="0" applyFont="1" applyFill="1" applyAlignment="1" applyProtection="1">
      <alignment wrapText="1"/>
    </xf>
    <xf numFmtId="0" fontId="23" fillId="9" borderId="0" xfId="0" applyFont="1" applyFill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ont="1" applyFill="1" applyAlignment="1" applyProtection="1">
      <alignment horizontal="right" vertical="top" wrapText="1"/>
    </xf>
    <xf numFmtId="0" fontId="27" fillId="9" borderId="0" xfId="0" applyFont="1" applyFill="1" applyAlignment="1">
      <alignment vertical="center"/>
    </xf>
    <xf numFmtId="0" fontId="0" fillId="9" borderId="0" xfId="0" applyFont="1" applyFill="1"/>
    <xf numFmtId="0" fontId="62" fillId="9" borderId="0" xfId="0" applyFont="1" applyFill="1" applyAlignment="1">
      <alignment vertical="center"/>
    </xf>
    <xf numFmtId="0" fontId="10" fillId="11" borderId="134" xfId="0" applyFont="1" applyFill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/>
    </xf>
    <xf numFmtId="0" fontId="10" fillId="11" borderId="24" xfId="0" applyFont="1" applyFill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135" xfId="0" applyFont="1" applyBorder="1" applyAlignment="1">
      <alignment horizontal="justify" vertical="center" wrapText="1"/>
    </xf>
    <xf numFmtId="0" fontId="63" fillId="0" borderId="0" xfId="0" applyFont="1" applyProtection="1"/>
    <xf numFmtId="0" fontId="66" fillId="3" borderId="2" xfId="0" applyFont="1" applyFill="1" applyBorder="1" applyAlignment="1" applyProtection="1">
      <alignment horizontal="center" vertical="center" wrapText="1"/>
    </xf>
    <xf numFmtId="49" fontId="66" fillId="3" borderId="3" xfId="0" applyNumberFormat="1" applyFont="1" applyFill="1" applyBorder="1" applyAlignment="1" applyProtection="1">
      <alignment horizontal="center" vertical="center" wrapText="1"/>
    </xf>
    <xf numFmtId="0" fontId="63" fillId="9" borderId="11" xfId="0" applyFont="1" applyFill="1" applyBorder="1" applyAlignment="1" applyProtection="1">
      <alignment vertical="center"/>
    </xf>
    <xf numFmtId="0" fontId="63" fillId="9" borderId="12" xfId="0" applyFont="1" applyFill="1" applyBorder="1" applyAlignment="1" applyProtection="1">
      <alignment vertical="center"/>
    </xf>
    <xf numFmtId="0" fontId="63" fillId="9" borderId="12" xfId="0" applyFont="1" applyFill="1" applyBorder="1" applyProtection="1"/>
    <xf numFmtId="0" fontId="63" fillId="9" borderId="12" xfId="0" applyFont="1" applyFill="1" applyBorder="1" applyAlignment="1" applyProtection="1">
      <alignment horizontal="left"/>
    </xf>
    <xf numFmtId="0" fontId="66" fillId="9" borderId="12" xfId="0" applyFont="1" applyFill="1" applyBorder="1" applyAlignment="1" applyProtection="1">
      <alignment horizontal="right"/>
    </xf>
    <xf numFmtId="0" fontId="63" fillId="9" borderId="13" xfId="0" applyFont="1" applyFill="1" applyBorder="1" applyProtection="1"/>
    <xf numFmtId="49" fontId="65" fillId="3" borderId="62" xfId="0" applyNumberFormat="1" applyFont="1" applyFill="1" applyBorder="1" applyAlignment="1" applyProtection="1">
      <alignment horizontal="center" vertical="center" wrapText="1"/>
    </xf>
    <xf numFmtId="0" fontId="63" fillId="9" borderId="0" xfId="0" applyFont="1" applyFill="1" applyBorder="1" applyAlignment="1" applyProtection="1">
      <alignment vertical="center"/>
    </xf>
    <xf numFmtId="0" fontId="63" fillId="9" borderId="0" xfId="0" applyFont="1" applyFill="1" applyBorder="1" applyProtection="1"/>
    <xf numFmtId="0" fontId="63" fillId="9" borderId="0" xfId="0" applyFont="1" applyFill="1" applyBorder="1" applyAlignment="1" applyProtection="1">
      <alignment horizontal="left"/>
    </xf>
    <xf numFmtId="0" fontId="63" fillId="9" borderId="0" xfId="0" applyFont="1" applyFill="1" applyProtection="1"/>
    <xf numFmtId="0" fontId="66" fillId="9" borderId="0" xfId="0" applyFont="1" applyFill="1" applyAlignment="1" applyProtection="1">
      <alignment horizontal="right"/>
    </xf>
    <xf numFmtId="178" fontId="66" fillId="9" borderId="0" xfId="0" applyNumberFormat="1" applyFont="1" applyFill="1" applyBorder="1" applyAlignment="1" applyProtection="1"/>
    <xf numFmtId="0" fontId="66" fillId="9" borderId="0" xfId="0" applyFont="1" applyFill="1" applyBorder="1" applyAlignment="1" applyProtection="1"/>
    <xf numFmtId="0" fontId="66" fillId="9" borderId="10" xfId="0" applyFont="1" applyFill="1" applyBorder="1" applyAlignment="1" applyProtection="1"/>
    <xf numFmtId="0" fontId="63" fillId="9" borderId="11" xfId="0" applyFont="1" applyFill="1" applyBorder="1" applyAlignment="1" applyProtection="1">
      <alignment horizontal="left"/>
    </xf>
    <xf numFmtId="0" fontId="66" fillId="9" borderId="12" xfId="0" applyFont="1" applyFill="1" applyBorder="1" applyProtection="1"/>
    <xf numFmtId="0" fontId="66" fillId="9" borderId="13" xfId="0" applyFont="1" applyFill="1" applyBorder="1" applyAlignment="1" applyProtection="1">
      <alignment horizontal="right"/>
    </xf>
    <xf numFmtId="0" fontId="66" fillId="9" borderId="0" xfId="0" applyFont="1" applyFill="1" applyBorder="1" applyAlignment="1" applyProtection="1">
      <alignment horizontal="center" vertical="center"/>
    </xf>
    <xf numFmtId="0" fontId="63" fillId="3" borderId="44" xfId="0" applyFont="1" applyFill="1" applyBorder="1" applyAlignment="1" applyProtection="1">
      <alignment horizontal="left" vertical="center"/>
    </xf>
    <xf numFmtId="0" fontId="63" fillId="3" borderId="4" xfId="0" applyFont="1" applyFill="1" applyBorder="1" applyAlignment="1" applyProtection="1">
      <alignment horizontal="left" vertical="center"/>
    </xf>
    <xf numFmtId="2" fontId="66" fillId="3" borderId="4" xfId="0" applyNumberFormat="1" applyFont="1" applyFill="1" applyBorder="1" applyAlignment="1" applyProtection="1">
      <alignment horizontal="center" vertical="center"/>
    </xf>
    <xf numFmtId="0" fontId="66" fillId="3" borderId="133" xfId="0" applyFont="1" applyFill="1" applyBorder="1" applyAlignment="1" applyProtection="1">
      <alignment horizontal="left" vertical="center"/>
    </xf>
    <xf numFmtId="0" fontId="63" fillId="3" borderId="4" xfId="0" applyFont="1" applyFill="1" applyBorder="1" applyAlignment="1" applyProtection="1">
      <alignment horizontal="right" vertical="center"/>
    </xf>
    <xf numFmtId="0" fontId="66" fillId="3" borderId="133" xfId="0" applyFont="1" applyFill="1" applyBorder="1" applyAlignment="1" applyProtection="1">
      <alignment vertical="center"/>
    </xf>
    <xf numFmtId="0" fontId="63" fillId="9" borderId="4" xfId="0" applyFont="1" applyFill="1" applyBorder="1" applyAlignment="1" applyProtection="1">
      <alignment vertical="center"/>
    </xf>
    <xf numFmtId="0" fontId="63" fillId="9" borderId="6" xfId="0" applyFont="1" applyFill="1" applyBorder="1" applyAlignment="1" applyProtection="1">
      <alignment vertical="center"/>
    </xf>
    <xf numFmtId="0" fontId="63" fillId="9" borderId="7" xfId="0" applyFont="1" applyFill="1" applyBorder="1" applyAlignment="1" applyProtection="1">
      <alignment vertical="center"/>
    </xf>
    <xf numFmtId="0" fontId="63" fillId="9" borderId="7" xfId="0" applyFont="1" applyFill="1" applyBorder="1" applyAlignment="1" applyProtection="1">
      <alignment horizontal="right" vertical="center"/>
    </xf>
    <xf numFmtId="0" fontId="63" fillId="9" borderId="8" xfId="0" applyFont="1" applyFill="1" applyBorder="1" applyAlignment="1" applyProtection="1">
      <alignment vertical="center"/>
    </xf>
    <xf numFmtId="0" fontId="63" fillId="9" borderId="9" xfId="0" applyFont="1" applyFill="1" applyBorder="1" applyAlignment="1" applyProtection="1">
      <alignment vertical="center"/>
    </xf>
    <xf numFmtId="0" fontId="66" fillId="9" borderId="0" xfId="0" applyFont="1" applyFill="1" applyBorder="1" applyAlignment="1" applyProtection="1">
      <alignment vertical="center"/>
    </xf>
    <xf numFmtId="0" fontId="63" fillId="9" borderId="10" xfId="0" applyFont="1" applyFill="1" applyBorder="1" applyAlignment="1" applyProtection="1">
      <alignment vertical="center"/>
    </xf>
    <xf numFmtId="0" fontId="63" fillId="11" borderId="111" xfId="0" applyFont="1" applyFill="1" applyBorder="1" applyAlignment="1" applyProtection="1">
      <alignment vertical="center"/>
      <protection locked="0"/>
    </xf>
    <xf numFmtId="0" fontId="63" fillId="0" borderId="110" xfId="0" applyFont="1" applyBorder="1" applyAlignment="1" applyProtection="1">
      <alignment vertical="center"/>
    </xf>
    <xf numFmtId="0" fontId="63" fillId="9" borderId="111" xfId="0" applyFont="1" applyFill="1" applyBorder="1" applyAlignment="1" applyProtection="1">
      <alignment vertical="center"/>
    </xf>
    <xf numFmtId="0" fontId="63" fillId="9" borderId="110" xfId="0" applyFont="1" applyFill="1" applyBorder="1" applyAlignment="1" applyProtection="1">
      <alignment vertical="center"/>
    </xf>
    <xf numFmtId="0" fontId="63" fillId="9" borderId="0" xfId="0" applyFont="1" applyFill="1" applyBorder="1" applyAlignment="1" applyProtection="1">
      <alignment horizontal="left" vertical="center"/>
    </xf>
    <xf numFmtId="0" fontId="63" fillId="9" borderId="5" xfId="0" applyFont="1" applyFill="1" applyBorder="1" applyAlignment="1" applyProtection="1">
      <alignment horizontal="center" vertical="center"/>
    </xf>
    <xf numFmtId="0" fontId="63" fillId="9" borderId="5" xfId="0" applyFont="1" applyFill="1" applyBorder="1" applyAlignment="1" applyProtection="1">
      <alignment horizontal="center" vertical="center" wrapText="1"/>
    </xf>
    <xf numFmtId="2" fontId="66" fillId="9" borderId="6" xfId="0" applyNumberFormat="1" applyFont="1" applyFill="1" applyBorder="1" applyAlignment="1" applyProtection="1">
      <alignment horizontal="left" vertical="center"/>
    </xf>
    <xf numFmtId="2" fontId="66" fillId="9" borderId="7" xfId="0" applyNumberFormat="1" applyFont="1" applyFill="1" applyBorder="1" applyAlignment="1" applyProtection="1">
      <alignment horizontal="left" vertical="center"/>
    </xf>
    <xf numFmtId="2" fontId="63" fillId="9" borderId="7" xfId="0" applyNumberFormat="1" applyFont="1" applyFill="1" applyBorder="1" applyAlignment="1" applyProtection="1">
      <alignment horizontal="center" vertical="center"/>
    </xf>
    <xf numFmtId="2" fontId="63" fillId="9" borderId="7" xfId="0" applyNumberFormat="1" applyFont="1" applyFill="1" applyBorder="1" applyAlignment="1" applyProtection="1">
      <alignment horizontal="left" vertical="center"/>
    </xf>
    <xf numFmtId="2" fontId="63" fillId="9" borderId="7" xfId="0" applyNumberFormat="1" applyFont="1" applyFill="1" applyBorder="1" applyAlignment="1" applyProtection="1">
      <alignment vertical="center"/>
    </xf>
    <xf numFmtId="3" fontId="63" fillId="9" borderId="7" xfId="0" applyNumberFormat="1" applyFont="1" applyFill="1" applyBorder="1" applyAlignment="1" applyProtection="1">
      <alignment horizontal="center" vertical="center"/>
    </xf>
    <xf numFmtId="4" fontId="63" fillId="9" borderId="7" xfId="0" applyNumberFormat="1" applyFont="1" applyFill="1" applyBorder="1" applyAlignment="1" applyProtection="1">
      <alignment horizontal="center" vertical="center"/>
    </xf>
    <xf numFmtId="4" fontId="63" fillId="9" borderId="7" xfId="1" applyNumberFormat="1" applyFont="1" applyFill="1" applyBorder="1" applyAlignment="1" applyProtection="1">
      <alignment horizontal="center" vertical="center"/>
    </xf>
    <xf numFmtId="184" fontId="63" fillId="9" borderId="7" xfId="1" applyNumberFormat="1" applyFont="1" applyFill="1" applyBorder="1" applyAlignment="1" applyProtection="1">
      <alignment horizontal="right" vertical="center"/>
    </xf>
    <xf numFmtId="184" fontId="63" fillId="9" borderId="8" xfId="1" applyNumberFormat="1" applyFont="1" applyFill="1" applyBorder="1" applyAlignment="1" applyProtection="1">
      <alignment horizontal="right" vertical="center"/>
    </xf>
    <xf numFmtId="2" fontId="66" fillId="9" borderId="9" xfId="0" applyNumberFormat="1" applyFont="1" applyFill="1" applyBorder="1" applyAlignment="1" applyProtection="1">
      <alignment horizontal="left" vertical="center"/>
    </xf>
    <xf numFmtId="2" fontId="66" fillId="9" borderId="0" xfId="0" applyNumberFormat="1" applyFont="1" applyFill="1" applyBorder="1" applyAlignment="1" applyProtection="1">
      <alignment horizontal="center" vertical="center"/>
    </xf>
    <xf numFmtId="2" fontId="63" fillId="9" borderId="0" xfId="0" applyNumberFormat="1" applyFont="1" applyFill="1" applyBorder="1" applyAlignment="1" applyProtection="1">
      <alignment horizontal="center" vertical="center"/>
    </xf>
    <xf numFmtId="2" fontId="66" fillId="9" borderId="0" xfId="0" applyNumberFormat="1" applyFont="1" applyFill="1" applyBorder="1" applyAlignment="1" applyProtection="1">
      <alignment horizontal="left" vertical="center"/>
    </xf>
    <xf numFmtId="2" fontId="63" fillId="9" borderId="0" xfId="0" applyNumberFormat="1" applyFont="1" applyFill="1" applyBorder="1" applyAlignment="1" applyProtection="1">
      <alignment vertical="center"/>
    </xf>
    <xf numFmtId="3" fontId="63" fillId="9" borderId="0" xfId="0" applyNumberFormat="1" applyFont="1" applyFill="1" applyBorder="1" applyAlignment="1" applyProtection="1">
      <alignment horizontal="center" vertical="center"/>
    </xf>
    <xf numFmtId="4" fontId="63" fillId="9" borderId="0" xfId="0" applyNumberFormat="1" applyFont="1" applyFill="1" applyBorder="1" applyAlignment="1" applyProtection="1">
      <alignment horizontal="center" vertical="center"/>
    </xf>
    <xf numFmtId="4" fontId="63" fillId="9" borderId="0" xfId="1" applyNumberFormat="1" applyFont="1" applyFill="1" applyBorder="1" applyAlignment="1" applyProtection="1">
      <alignment horizontal="center" vertical="center"/>
    </xf>
    <xf numFmtId="184" fontId="63" fillId="9" borderId="0" xfId="1" applyNumberFormat="1" applyFont="1" applyFill="1" applyBorder="1" applyAlignment="1" applyProtection="1">
      <alignment horizontal="right" vertical="center"/>
    </xf>
    <xf numFmtId="184" fontId="63" fillId="9" borderId="10" xfId="1" applyNumberFormat="1" applyFont="1" applyFill="1" applyBorder="1" applyAlignment="1" applyProtection="1">
      <alignment horizontal="right" vertical="center"/>
    </xf>
    <xf numFmtId="1" fontId="68" fillId="9" borderId="0" xfId="0" applyNumberFormat="1" applyFont="1" applyFill="1" applyBorder="1" applyAlignment="1" applyProtection="1">
      <alignment horizontal="center" vertical="center"/>
    </xf>
    <xf numFmtId="2" fontId="66" fillId="9" borderId="0" xfId="0" applyNumberFormat="1" applyFont="1" applyFill="1" applyBorder="1" applyAlignment="1" applyProtection="1">
      <alignment vertical="center"/>
    </xf>
    <xf numFmtId="184" fontId="63" fillId="9" borderId="13" xfId="1" applyNumberFormat="1" applyFont="1" applyFill="1" applyBorder="1" applyAlignment="1" applyProtection="1">
      <alignment horizontal="right" vertical="center"/>
    </xf>
    <xf numFmtId="184" fontId="63" fillId="9" borderId="5" xfId="1" applyNumberFormat="1" applyFont="1" applyFill="1" applyBorder="1" applyAlignment="1" applyProtection="1">
      <alignment horizontal="right" vertical="center"/>
    </xf>
    <xf numFmtId="2" fontId="66" fillId="9" borderId="69" xfId="0" applyNumberFormat="1" applyFont="1" applyFill="1" applyBorder="1" applyAlignment="1" applyProtection="1">
      <alignment horizontal="left" vertical="center"/>
    </xf>
    <xf numFmtId="2" fontId="69" fillId="9" borderId="100" xfId="0" applyNumberFormat="1" applyFont="1" applyFill="1" applyBorder="1" applyAlignment="1" applyProtection="1">
      <alignment horizontal="center" vertical="center"/>
    </xf>
    <xf numFmtId="2" fontId="63" fillId="9" borderId="100" xfId="0" applyNumberFormat="1" applyFont="1" applyFill="1" applyBorder="1" applyAlignment="1" applyProtection="1">
      <alignment horizontal="center" vertical="center"/>
    </xf>
    <xf numFmtId="1" fontId="68" fillId="9" borderId="100" xfId="0" applyNumberFormat="1" applyFont="1" applyFill="1" applyBorder="1" applyAlignment="1" applyProtection="1">
      <alignment horizontal="center" vertical="center"/>
    </xf>
    <xf numFmtId="2" fontId="66" fillId="9" borderId="100" xfId="0" applyNumberFormat="1" applyFont="1" applyFill="1" applyBorder="1" applyAlignment="1" applyProtection="1">
      <alignment vertical="center"/>
    </xf>
    <xf numFmtId="0" fontId="63" fillId="9" borderId="100" xfId="0" applyFont="1" applyFill="1" applyBorder="1" applyAlignment="1" applyProtection="1">
      <alignment vertical="center"/>
    </xf>
    <xf numFmtId="4" fontId="63" fillId="9" borderId="100" xfId="0" applyNumberFormat="1" applyFont="1" applyFill="1" applyBorder="1" applyAlignment="1" applyProtection="1">
      <alignment horizontal="center" vertical="center"/>
    </xf>
    <xf numFmtId="4" fontId="63" fillId="9" borderId="100" xfId="1" applyNumberFormat="1" applyFont="1" applyFill="1" applyBorder="1" applyAlignment="1" applyProtection="1">
      <alignment horizontal="center" vertical="center"/>
    </xf>
    <xf numFmtId="184" fontId="63" fillId="9" borderId="164" xfId="1" applyNumberFormat="1" applyFont="1" applyFill="1" applyBorder="1" applyAlignment="1" applyProtection="1">
      <alignment horizontal="right" vertical="center"/>
    </xf>
    <xf numFmtId="2" fontId="66" fillId="9" borderId="9" xfId="0" applyNumberFormat="1" applyFont="1" applyFill="1" applyBorder="1" applyAlignment="1" applyProtection="1">
      <alignment horizontal="right" vertical="center"/>
    </xf>
    <xf numFmtId="0" fontId="63" fillId="9" borderId="0" xfId="0" applyFont="1" applyFill="1" applyBorder="1" applyAlignment="1" applyProtection="1">
      <alignment horizontal="center" vertical="center"/>
    </xf>
    <xf numFmtId="2" fontId="63" fillId="9" borderId="0" xfId="0" applyNumberFormat="1" applyFont="1" applyFill="1" applyBorder="1" applyAlignment="1" applyProtection="1">
      <alignment horizontal="left" vertical="center"/>
    </xf>
    <xf numFmtId="2" fontId="63" fillId="9" borderId="10" xfId="0" applyNumberFormat="1" applyFont="1" applyFill="1" applyBorder="1" applyAlignment="1" applyProtection="1">
      <alignment horizontal="left" vertical="center"/>
    </xf>
    <xf numFmtId="2" fontId="63" fillId="11" borderId="10" xfId="0" applyNumberFormat="1" applyFont="1" applyFill="1" applyBorder="1" applyAlignment="1" applyProtection="1">
      <alignment horizontal="center" vertical="center"/>
      <protection locked="0"/>
    </xf>
    <xf numFmtId="3" fontId="63" fillId="11" borderId="3" xfId="0" applyNumberFormat="1" applyFont="1" applyFill="1" applyBorder="1" applyAlignment="1" applyProtection="1">
      <alignment horizontal="center" vertical="center"/>
      <protection locked="0"/>
    </xf>
    <xf numFmtId="4" fontId="63" fillId="9" borderId="3" xfId="1" applyNumberFormat="1" applyFont="1" applyFill="1" applyBorder="1" applyAlignment="1" applyProtection="1">
      <alignment horizontal="center" vertical="center"/>
    </xf>
    <xf numFmtId="184" fontId="63" fillId="9" borderId="10" xfId="0" applyNumberFormat="1" applyFont="1" applyFill="1" applyBorder="1" applyAlignment="1" applyProtection="1">
      <alignment horizontal="right" vertical="center"/>
    </xf>
    <xf numFmtId="184" fontId="63" fillId="9" borderId="3" xfId="1" applyNumberFormat="1" applyFont="1" applyFill="1" applyBorder="1" applyAlignment="1" applyProtection="1">
      <alignment horizontal="right" vertical="center"/>
    </xf>
    <xf numFmtId="2" fontId="63" fillId="11" borderId="3" xfId="0" applyNumberFormat="1" applyFont="1" applyFill="1" applyBorder="1" applyAlignment="1" applyProtection="1">
      <alignment horizontal="center" vertical="center"/>
      <protection locked="0"/>
    </xf>
    <xf numFmtId="3" fontId="63" fillId="11" borderId="10" xfId="0" applyNumberFormat="1" applyFont="1" applyFill="1" applyBorder="1" applyAlignment="1" applyProtection="1">
      <alignment horizontal="center" vertical="center"/>
      <protection locked="0"/>
    </xf>
    <xf numFmtId="184" fontId="63" fillId="9" borderId="0" xfId="0" applyNumberFormat="1" applyFont="1" applyFill="1" applyBorder="1" applyAlignment="1" applyProtection="1">
      <alignment horizontal="right" vertical="center"/>
    </xf>
    <xf numFmtId="2" fontId="66" fillId="11" borderId="9" xfId="0" applyNumberFormat="1" applyFont="1" applyFill="1" applyBorder="1" applyAlignment="1" applyProtection="1">
      <alignment horizontal="right" vertical="center"/>
      <protection locked="0"/>
    </xf>
    <xf numFmtId="2" fontId="66" fillId="11" borderId="0" xfId="0" applyNumberFormat="1" applyFont="1" applyFill="1" applyBorder="1" applyAlignment="1" applyProtection="1">
      <alignment horizontal="left" vertical="center"/>
      <protection locked="0"/>
    </xf>
    <xf numFmtId="0" fontId="63" fillId="11" borderId="0" xfId="0" applyFont="1" applyFill="1" applyBorder="1" applyAlignment="1" applyProtection="1">
      <alignment horizontal="center" vertical="center"/>
      <protection locked="0"/>
    </xf>
    <xf numFmtId="2" fontId="63" fillId="11" borderId="0" xfId="0" applyNumberFormat="1" applyFont="1" applyFill="1" applyBorder="1" applyAlignment="1" applyProtection="1">
      <alignment horizontal="justify" vertical="center" wrapText="1"/>
      <protection locked="0"/>
    </xf>
    <xf numFmtId="2" fontId="63" fillId="11" borderId="10" xfId="0" applyNumberFormat="1" applyFont="1" applyFill="1" applyBorder="1" applyAlignment="1" applyProtection="1">
      <alignment horizontal="justify" vertical="center" wrapText="1"/>
      <protection locked="0"/>
    </xf>
    <xf numFmtId="184" fontId="63" fillId="11" borderId="0" xfId="0" applyNumberFormat="1" applyFont="1" applyFill="1" applyBorder="1" applyAlignment="1" applyProtection="1">
      <alignment horizontal="right" vertical="center"/>
      <protection locked="0"/>
    </xf>
    <xf numFmtId="184" fontId="63" fillId="11" borderId="3" xfId="1" applyNumberFormat="1" applyFont="1" applyFill="1" applyBorder="1" applyAlignment="1" applyProtection="1">
      <alignment horizontal="right" vertical="center"/>
      <protection locked="0"/>
    </xf>
    <xf numFmtId="2" fontId="66" fillId="9" borderId="34" xfId="0" applyNumberFormat="1" applyFont="1" applyFill="1" applyBorder="1" applyAlignment="1" applyProtection="1">
      <alignment horizontal="right" vertical="center"/>
    </xf>
    <xf numFmtId="2" fontId="66" fillId="9" borderId="103" xfId="0" applyNumberFormat="1" applyFont="1" applyFill="1" applyBorder="1" applyAlignment="1" applyProtection="1">
      <alignment horizontal="left" vertical="center"/>
    </xf>
    <xf numFmtId="0" fontId="63" fillId="9" borderId="103" xfId="0" applyFont="1" applyFill="1" applyBorder="1" applyAlignment="1" applyProtection="1">
      <alignment horizontal="center" vertical="center"/>
    </xf>
    <xf numFmtId="2" fontId="63" fillId="9" borderId="103" xfId="0" applyNumberFormat="1" applyFont="1" applyFill="1" applyBorder="1" applyAlignment="1" applyProtection="1">
      <alignment horizontal="justify" vertical="center" wrapText="1"/>
    </xf>
    <xf numFmtId="4" fontId="63" fillId="9" borderId="103" xfId="0" applyNumberFormat="1" applyFont="1" applyFill="1" applyBorder="1" applyAlignment="1" applyProtection="1">
      <alignment horizontal="center" vertical="center"/>
    </xf>
    <xf numFmtId="3" fontId="63" fillId="9" borderId="103" xfId="0" applyNumberFormat="1" applyFont="1" applyFill="1" applyBorder="1" applyAlignment="1" applyProtection="1">
      <alignment horizontal="center" vertical="center"/>
    </xf>
    <xf numFmtId="4" fontId="63" fillId="9" borderId="103" xfId="1" applyNumberFormat="1" applyFont="1" applyFill="1" applyBorder="1" applyAlignment="1" applyProtection="1">
      <alignment horizontal="center" vertical="center"/>
    </xf>
    <xf numFmtId="184" fontId="63" fillId="9" borderId="103" xfId="0" applyNumberFormat="1" applyFont="1" applyFill="1" applyBorder="1" applyAlignment="1" applyProtection="1">
      <alignment horizontal="right" vertical="center"/>
    </xf>
    <xf numFmtId="184" fontId="63" fillId="9" borderId="140" xfId="1" applyNumberFormat="1" applyFont="1" applyFill="1" applyBorder="1" applyAlignment="1" applyProtection="1">
      <alignment horizontal="right" vertical="center"/>
    </xf>
    <xf numFmtId="2" fontId="63" fillId="9" borderId="0" xfId="0" applyNumberFormat="1" applyFont="1" applyFill="1" applyBorder="1" applyAlignment="1" applyProtection="1">
      <alignment horizontal="justify" vertical="center" wrapText="1"/>
    </xf>
    <xf numFmtId="2" fontId="66" fillId="9" borderId="69" xfId="0" applyNumberFormat="1" applyFont="1" applyFill="1" applyBorder="1" applyAlignment="1" applyProtection="1">
      <alignment horizontal="right" vertical="center"/>
    </xf>
    <xf numFmtId="2" fontId="69" fillId="9" borderId="100" xfId="0" applyNumberFormat="1" applyFont="1" applyFill="1" applyBorder="1" applyAlignment="1" applyProtection="1">
      <alignment horizontal="left" vertical="center"/>
    </xf>
    <xf numFmtId="0" fontId="63" fillId="9" borderId="100" xfId="0" applyFont="1" applyFill="1" applyBorder="1" applyAlignment="1" applyProtection="1">
      <alignment horizontal="center" vertical="center"/>
    </xf>
    <xf numFmtId="2" fontId="63" fillId="9" borderId="100" xfId="0" applyNumberFormat="1" applyFont="1" applyFill="1" applyBorder="1" applyAlignment="1" applyProtection="1">
      <alignment horizontal="justify" vertical="center" wrapText="1"/>
    </xf>
    <xf numFmtId="184" fontId="63" fillId="9" borderId="100" xfId="0" applyNumberFormat="1" applyFont="1" applyFill="1" applyBorder="1" applyAlignment="1" applyProtection="1">
      <alignment horizontal="right" vertical="center"/>
    </xf>
    <xf numFmtId="3" fontId="63" fillId="11" borderId="35" xfId="0" applyNumberFormat="1" applyFont="1" applyFill="1" applyBorder="1" applyAlignment="1" applyProtection="1">
      <alignment horizontal="center" vertical="center"/>
      <protection locked="0"/>
    </xf>
    <xf numFmtId="184" fontId="63" fillId="9" borderId="159" xfId="0" applyNumberFormat="1" applyFont="1" applyFill="1" applyBorder="1" applyAlignment="1" applyProtection="1">
      <alignment horizontal="right" vertical="center"/>
    </xf>
    <xf numFmtId="2" fontId="63" fillId="9" borderId="113" xfId="0" applyNumberFormat="1" applyFont="1" applyFill="1" applyBorder="1" applyAlignment="1" applyProtection="1">
      <alignment horizontal="justify" vertical="center" wrapText="1"/>
    </xf>
    <xf numFmtId="4" fontId="63" fillId="9" borderId="113" xfId="0" applyNumberFormat="1" applyFont="1" applyFill="1" applyBorder="1" applyAlignment="1" applyProtection="1">
      <alignment horizontal="center" vertical="center"/>
    </xf>
    <xf numFmtId="4" fontId="63" fillId="9" borderId="113" xfId="1" applyNumberFormat="1" applyFont="1" applyFill="1" applyBorder="1" applyAlignment="1" applyProtection="1">
      <alignment horizontal="center" vertical="center"/>
    </xf>
    <xf numFmtId="184" fontId="63" fillId="9" borderId="164" xfId="0" applyNumberFormat="1" applyFont="1" applyFill="1" applyBorder="1" applyAlignment="1" applyProtection="1">
      <alignment horizontal="right" vertical="center"/>
    </xf>
    <xf numFmtId="184" fontId="63" fillId="9" borderId="35" xfId="0" applyNumberFormat="1" applyFont="1" applyFill="1" applyBorder="1" applyAlignment="1" applyProtection="1">
      <alignment horizontal="center" vertical="center"/>
    </xf>
    <xf numFmtId="2" fontId="63" fillId="11" borderId="35" xfId="0" applyNumberFormat="1" applyFont="1" applyFill="1" applyBorder="1" applyAlignment="1" applyProtection="1">
      <alignment horizontal="center" vertical="center"/>
      <protection locked="0"/>
    </xf>
    <xf numFmtId="184" fontId="63" fillId="9" borderId="3" xfId="0" applyNumberFormat="1" applyFont="1" applyFill="1" applyBorder="1" applyAlignment="1" applyProtection="1">
      <alignment horizontal="center" vertical="center"/>
    </xf>
    <xf numFmtId="2" fontId="63" fillId="9" borderId="103" xfId="0" applyNumberFormat="1" applyFont="1" applyFill="1" applyBorder="1" applyAlignment="1" applyProtection="1">
      <alignment horizontal="center" vertical="center"/>
    </xf>
    <xf numFmtId="4" fontId="63" fillId="9" borderId="44" xfId="0" applyNumberFormat="1" applyFont="1" applyFill="1" applyBorder="1" applyAlignment="1" applyProtection="1">
      <alignment vertical="center"/>
    </xf>
    <xf numFmtId="4" fontId="63" fillId="9" borderId="4" xfId="0" applyNumberFormat="1" applyFont="1" applyFill="1" applyBorder="1" applyAlignment="1" applyProtection="1">
      <alignment vertical="center"/>
    </xf>
    <xf numFmtId="4" fontId="66" fillId="9" borderId="133" xfId="0" applyNumberFormat="1" applyFont="1" applyFill="1" applyBorder="1" applyAlignment="1" applyProtection="1">
      <alignment horizontal="right" vertical="center"/>
    </xf>
    <xf numFmtId="184" fontId="66" fillId="9" borderId="5" xfId="1" applyNumberFormat="1" applyFont="1" applyFill="1" applyBorder="1" applyAlignment="1" applyProtection="1">
      <alignment vertical="center"/>
    </xf>
    <xf numFmtId="0" fontId="66" fillId="9" borderId="138" xfId="0" applyFont="1" applyFill="1" applyBorder="1" applyAlignment="1" applyProtection="1">
      <alignment horizontal="left" vertical="center"/>
    </xf>
    <xf numFmtId="2" fontId="66" fillId="9" borderId="117" xfId="0" applyNumberFormat="1" applyFont="1" applyFill="1" applyBorder="1" applyAlignment="1" applyProtection="1">
      <alignment horizontal="left" vertical="center"/>
    </xf>
    <xf numFmtId="0" fontId="63" fillId="9" borderId="117" xfId="0" applyFont="1" applyFill="1" applyBorder="1" applyAlignment="1" applyProtection="1">
      <alignment horizontal="center" vertical="center"/>
    </xf>
    <xf numFmtId="0" fontId="63" fillId="9" borderId="117" xfId="0" applyFont="1" applyFill="1" applyBorder="1" applyAlignment="1" applyProtection="1">
      <alignment horizontal="left" vertical="center"/>
    </xf>
    <xf numFmtId="0" fontId="63" fillId="9" borderId="117" xfId="0" applyFont="1" applyFill="1" applyBorder="1" applyAlignment="1" applyProtection="1">
      <alignment vertical="center"/>
    </xf>
    <xf numFmtId="4" fontId="63" fillId="9" borderId="117" xfId="0" applyNumberFormat="1" applyFont="1" applyFill="1" applyBorder="1" applyAlignment="1" applyProtection="1">
      <alignment horizontal="center" vertical="center"/>
    </xf>
    <xf numFmtId="184" fontId="63" fillId="9" borderId="137" xfId="0" applyNumberFormat="1" applyFont="1" applyFill="1" applyBorder="1" applyAlignment="1" applyProtection="1">
      <alignment horizontal="center" vertical="center"/>
    </xf>
    <xf numFmtId="184" fontId="63" fillId="9" borderId="5" xfId="1" applyNumberFormat="1" applyFont="1" applyFill="1" applyBorder="1" applyAlignment="1" applyProtection="1">
      <alignment vertical="center"/>
    </xf>
    <xf numFmtId="0" fontId="66" fillId="9" borderId="165" xfId="0" applyFont="1" applyFill="1" applyBorder="1" applyAlignment="1" applyProtection="1">
      <alignment horizontal="right" vertical="center"/>
    </xf>
    <xf numFmtId="2" fontId="66" fillId="9" borderId="113" xfId="0" applyNumberFormat="1" applyFont="1" applyFill="1" applyBorder="1" applyAlignment="1" applyProtection="1">
      <alignment horizontal="left" vertical="center"/>
    </xf>
    <xf numFmtId="0" fontId="63" fillId="9" borderId="113" xfId="0" applyFont="1" applyFill="1" applyBorder="1" applyAlignment="1" applyProtection="1">
      <alignment horizontal="center" vertical="center"/>
    </xf>
    <xf numFmtId="0" fontId="63" fillId="9" borderId="113" xfId="0" applyFont="1" applyFill="1" applyBorder="1" applyAlignment="1" applyProtection="1">
      <alignment horizontal="left" vertical="center"/>
    </xf>
    <xf numFmtId="185" fontId="63" fillId="11" borderId="3" xfId="0" applyNumberFormat="1" applyFont="1" applyFill="1" applyBorder="1" applyAlignment="1" applyProtection="1">
      <alignment vertical="center"/>
      <protection locked="0"/>
    </xf>
    <xf numFmtId="184" fontId="63" fillId="9" borderId="35" xfId="0" applyNumberFormat="1" applyFont="1" applyFill="1" applyBorder="1" applyAlignment="1" applyProtection="1">
      <alignment horizontal="right" vertical="center"/>
    </xf>
    <xf numFmtId="184" fontId="63" fillId="11" borderId="3" xfId="0" applyNumberFormat="1" applyFont="1" applyFill="1" applyBorder="1" applyAlignment="1" applyProtection="1">
      <alignment horizontal="right" vertical="center"/>
      <protection locked="0"/>
    </xf>
    <xf numFmtId="0" fontId="66" fillId="9" borderId="9" xfId="0" applyFont="1" applyFill="1" applyBorder="1" applyAlignment="1" applyProtection="1">
      <alignment horizontal="right" vertical="center"/>
    </xf>
    <xf numFmtId="184" fontId="63" fillId="9" borderId="3" xfId="0" applyNumberFormat="1" applyFont="1" applyFill="1" applyBorder="1" applyAlignment="1" applyProtection="1">
      <alignment horizontal="right" vertical="center"/>
    </xf>
    <xf numFmtId="0" fontId="66" fillId="11" borderId="9" xfId="0" applyFont="1" applyFill="1" applyBorder="1" applyAlignment="1" applyProtection="1">
      <alignment horizontal="right" vertical="center"/>
      <protection locked="0"/>
    </xf>
    <xf numFmtId="0" fontId="63" fillId="11" borderId="0" xfId="0" applyFont="1" applyFill="1" applyBorder="1" applyAlignment="1" applyProtection="1">
      <alignment horizontal="left" vertical="center"/>
      <protection locked="0"/>
    </xf>
    <xf numFmtId="184" fontId="63" fillId="9" borderId="117" xfId="0" applyNumberFormat="1" applyFont="1" applyFill="1" applyBorder="1" applyAlignment="1" applyProtection="1">
      <alignment horizontal="right" vertical="center"/>
    </xf>
    <xf numFmtId="184" fontId="63" fillId="9" borderId="137" xfId="0" applyNumberFormat="1" applyFont="1" applyFill="1" applyBorder="1" applyAlignment="1" applyProtection="1">
      <alignment horizontal="right" vertical="center"/>
    </xf>
    <xf numFmtId="0" fontId="63" fillId="9" borderId="7" xfId="0" applyFont="1" applyFill="1" applyBorder="1" applyAlignment="1" applyProtection="1">
      <alignment horizontal="left" vertical="center"/>
    </xf>
    <xf numFmtId="0" fontId="63" fillId="9" borderId="7" xfId="0" applyFont="1" applyFill="1" applyBorder="1" applyAlignment="1" applyProtection="1">
      <alignment horizontal="center" vertical="center"/>
    </xf>
    <xf numFmtId="167" fontId="63" fillId="9" borderId="7" xfId="0" applyNumberFormat="1" applyFont="1" applyFill="1" applyBorder="1" applyAlignment="1" applyProtection="1">
      <alignment horizontal="center" vertical="center"/>
    </xf>
    <xf numFmtId="4" fontId="63" fillId="9" borderId="7" xfId="0" applyNumberFormat="1" applyFont="1" applyFill="1" applyBorder="1" applyAlignment="1" applyProtection="1">
      <alignment horizontal="right" vertical="center"/>
    </xf>
    <xf numFmtId="169" fontId="63" fillId="9" borderId="7" xfId="1" applyNumberFormat="1" applyFont="1" applyFill="1" applyBorder="1" applyAlignment="1" applyProtection="1">
      <alignment vertical="center"/>
    </xf>
    <xf numFmtId="0" fontId="66" fillId="9" borderId="44" xfId="0" applyFont="1" applyFill="1" applyBorder="1" applyAlignment="1" applyProtection="1">
      <alignment horizontal="right" vertical="center"/>
    </xf>
    <xf numFmtId="10" fontId="66" fillId="9" borderId="0" xfId="0" applyNumberFormat="1" applyFont="1" applyFill="1" applyBorder="1" applyAlignment="1" applyProtection="1">
      <alignment horizontal="center" vertical="center"/>
    </xf>
    <xf numFmtId="184" fontId="66" fillId="9" borderId="5" xfId="1" applyNumberFormat="1" applyFont="1" applyFill="1" applyBorder="1" applyAlignment="1" applyProtection="1">
      <alignment horizontal="right" vertical="center"/>
    </xf>
    <xf numFmtId="4" fontId="66" fillId="9" borderId="5" xfId="1" applyNumberFormat="1" applyFont="1" applyFill="1" applyBorder="1" applyAlignment="1" applyProtection="1">
      <alignment vertical="center"/>
    </xf>
    <xf numFmtId="0" fontId="63" fillId="9" borderId="0" xfId="0" applyFont="1" applyFill="1" applyAlignment="1" applyProtection="1">
      <alignment vertical="center"/>
    </xf>
    <xf numFmtId="0" fontId="66" fillId="9" borderId="6" xfId="0" applyFont="1" applyFill="1" applyBorder="1" applyAlignment="1" applyProtection="1">
      <alignment vertical="top"/>
    </xf>
    <xf numFmtId="0" fontId="66" fillId="9" borderId="7" xfId="0" applyFont="1" applyFill="1" applyBorder="1" applyAlignment="1" applyProtection="1">
      <alignment vertical="top"/>
    </xf>
    <xf numFmtId="0" fontId="70" fillId="9" borderId="7" xfId="0" applyFont="1" applyFill="1" applyBorder="1" applyAlignment="1" applyProtection="1">
      <alignment vertical="top" wrapText="1"/>
    </xf>
    <xf numFmtId="0" fontId="70" fillId="9" borderId="8" xfId="0" applyFont="1" applyFill="1" applyBorder="1" applyAlignment="1" applyProtection="1">
      <alignment vertical="top" wrapText="1"/>
    </xf>
    <xf numFmtId="0" fontId="70" fillId="9" borderId="9" xfId="0" applyFont="1" applyFill="1" applyBorder="1" applyAlignment="1" applyProtection="1">
      <alignment horizontal="right" vertical="top"/>
    </xf>
    <xf numFmtId="0" fontId="70" fillId="9" borderId="10" xfId="0" applyFont="1" applyFill="1" applyBorder="1" applyAlignment="1" applyProtection="1">
      <alignment horizontal="justify" vertical="top" wrapText="1"/>
    </xf>
    <xf numFmtId="0" fontId="66" fillId="9" borderId="9" xfId="0" applyFont="1" applyFill="1" applyBorder="1" applyAlignment="1" applyProtection="1">
      <alignment vertical="top"/>
    </xf>
    <xf numFmtId="0" fontId="66" fillId="9" borderId="0" xfId="0" applyFont="1" applyFill="1" applyBorder="1" applyAlignment="1" applyProtection="1">
      <alignment vertical="top"/>
    </xf>
    <xf numFmtId="0" fontId="70" fillId="9" borderId="0" xfId="0" applyFont="1" applyFill="1" applyBorder="1" applyAlignment="1" applyProtection="1">
      <alignment vertical="top" wrapText="1"/>
    </xf>
    <xf numFmtId="0" fontId="70" fillId="9" borderId="10" xfId="0" applyFont="1" applyFill="1" applyBorder="1" applyAlignment="1" applyProtection="1">
      <alignment vertical="top" wrapText="1"/>
    </xf>
    <xf numFmtId="0" fontId="70" fillId="9" borderId="0" xfId="0" applyFont="1" applyFill="1" applyBorder="1" applyAlignment="1" applyProtection="1">
      <alignment horizontal="right" vertical="top"/>
    </xf>
    <xf numFmtId="0" fontId="70" fillId="9" borderId="0" xfId="0" applyFont="1" applyFill="1" applyBorder="1" applyAlignment="1" applyProtection="1">
      <alignment horizontal="justify" vertical="top" wrapText="1"/>
    </xf>
    <xf numFmtId="0" fontId="63" fillId="9" borderId="11" xfId="0" applyFont="1" applyFill="1" applyBorder="1" applyAlignment="1" applyProtection="1">
      <alignment vertical="top"/>
    </xf>
    <xf numFmtId="0" fontId="63" fillId="9" borderId="12" xfId="0" applyFont="1" applyFill="1" applyBorder="1" applyAlignment="1" applyProtection="1">
      <alignment horizontal="right" vertical="top"/>
    </xf>
    <xf numFmtId="0" fontId="63" fillId="9" borderId="12" xfId="0" applyFont="1" applyFill="1" applyBorder="1" applyAlignment="1" applyProtection="1">
      <alignment vertical="top" wrapText="1"/>
    </xf>
    <xf numFmtId="0" fontId="63" fillId="9" borderId="13" xfId="0" applyFont="1" applyFill="1" applyBorder="1" applyAlignment="1" applyProtection="1">
      <alignment vertical="top" wrapText="1"/>
    </xf>
    <xf numFmtId="0" fontId="66" fillId="3" borderId="4" xfId="0" applyFont="1" applyFill="1" applyBorder="1" applyAlignment="1" applyProtection="1">
      <alignment horizontal="center" vertical="center"/>
    </xf>
    <xf numFmtId="0" fontId="63" fillId="9" borderId="4" xfId="0" applyFont="1" applyFill="1" applyBorder="1" applyAlignment="1" applyProtection="1">
      <alignment horizontal="center" vertical="center"/>
    </xf>
    <xf numFmtId="0" fontId="63" fillId="9" borderId="2" xfId="0" applyFont="1" applyFill="1" applyBorder="1" applyAlignment="1" applyProtection="1">
      <alignment horizontal="center" vertical="center"/>
    </xf>
    <xf numFmtId="0" fontId="63" fillId="9" borderId="12" xfId="0" applyFont="1" applyFill="1" applyBorder="1" applyAlignment="1" applyProtection="1">
      <alignment horizontal="center" vertical="center"/>
    </xf>
    <xf numFmtId="0" fontId="63" fillId="9" borderId="62" xfId="0" applyFont="1" applyFill="1" applyBorder="1" applyAlignment="1" applyProtection="1">
      <alignment horizontal="center" vertical="center"/>
    </xf>
    <xf numFmtId="0" fontId="66" fillId="9" borderId="6" xfId="0" applyFont="1" applyFill="1" applyBorder="1" applyAlignment="1" applyProtection="1">
      <alignment horizontal="right" vertical="center"/>
    </xf>
    <xf numFmtId="0" fontId="66" fillId="9" borderId="7" xfId="0" applyFont="1" applyFill="1" applyBorder="1" applyAlignment="1" applyProtection="1">
      <alignment horizontal="left" vertical="center"/>
    </xf>
    <xf numFmtId="185" fontId="63" fillId="9" borderId="10" xfId="0" applyNumberFormat="1" applyFont="1" applyFill="1" applyBorder="1" applyAlignment="1" applyProtection="1">
      <alignment horizontal="center" vertical="center"/>
    </xf>
    <xf numFmtId="4" fontId="63" fillId="9" borderId="3" xfId="0" applyNumberFormat="1" applyFont="1" applyFill="1" applyBorder="1" applyAlignment="1" applyProtection="1">
      <alignment horizontal="center" vertical="center"/>
    </xf>
    <xf numFmtId="184" fontId="63" fillId="9" borderId="3" xfId="1" applyNumberFormat="1" applyFont="1" applyFill="1" applyBorder="1" applyAlignment="1" applyProtection="1">
      <alignment horizontal="center" vertical="center"/>
    </xf>
    <xf numFmtId="0" fontId="66" fillId="9" borderId="0" xfId="0" applyFont="1" applyFill="1" applyBorder="1" applyAlignment="1" applyProtection="1">
      <alignment horizontal="left" vertical="center"/>
    </xf>
    <xf numFmtId="184" fontId="63" fillId="9" borderId="0" xfId="1" applyNumberFormat="1" applyFont="1" applyFill="1" applyBorder="1" applyAlignment="1" applyProtection="1">
      <alignment horizontal="center" vertical="center"/>
    </xf>
    <xf numFmtId="0" fontId="63" fillId="9" borderId="11" xfId="0" applyFont="1" applyFill="1" applyBorder="1" applyAlignment="1" applyProtection="1">
      <alignment horizontal="right" vertical="center"/>
    </xf>
    <xf numFmtId="0" fontId="63" fillId="9" borderId="12" xfId="0" applyFont="1" applyFill="1" applyBorder="1" applyAlignment="1" applyProtection="1">
      <alignment horizontal="left" vertical="center"/>
    </xf>
    <xf numFmtId="0" fontId="63" fillId="9" borderId="13" xfId="0" applyFont="1" applyFill="1" applyBorder="1" applyAlignment="1" applyProtection="1">
      <alignment horizontal="left" vertical="center"/>
    </xf>
    <xf numFmtId="185" fontId="63" fillId="9" borderId="13" xfId="0" applyNumberFormat="1" applyFont="1" applyFill="1" applyBorder="1" applyAlignment="1" applyProtection="1">
      <alignment horizontal="center" vertical="center"/>
    </xf>
    <xf numFmtId="184" fontId="63" fillId="9" borderId="62" xfId="1" applyNumberFormat="1" applyFont="1" applyFill="1" applyBorder="1" applyAlignment="1" applyProtection="1">
      <alignment horizontal="center" vertical="center"/>
    </xf>
    <xf numFmtId="184" fontId="63" fillId="9" borderId="133" xfId="1" applyNumberFormat="1" applyFont="1" applyFill="1" applyBorder="1" applyAlignment="1" applyProtection="1">
      <alignment vertical="center"/>
    </xf>
    <xf numFmtId="49" fontId="66" fillId="9" borderId="0" xfId="0" applyNumberFormat="1" applyFont="1" applyFill="1" applyBorder="1" applyAlignment="1" applyProtection="1">
      <alignment horizontal="left" vertical="center"/>
    </xf>
    <xf numFmtId="0" fontId="63" fillId="9" borderId="10" xfId="0" applyFont="1" applyFill="1" applyBorder="1" applyAlignment="1" applyProtection="1">
      <alignment horizontal="center" vertical="center"/>
    </xf>
    <xf numFmtId="184" fontId="63" fillId="9" borderId="2" xfId="0" applyNumberFormat="1" applyFont="1" applyFill="1" applyBorder="1" applyAlignment="1" applyProtection="1">
      <alignment horizontal="center" vertical="center"/>
    </xf>
    <xf numFmtId="0" fontId="66" fillId="9" borderId="11" xfId="0" applyFont="1" applyFill="1" applyBorder="1" applyAlignment="1" applyProtection="1">
      <alignment horizontal="right" vertical="center"/>
    </xf>
    <xf numFmtId="0" fontId="66" fillId="9" borderId="12" xfId="0" applyFont="1" applyFill="1" applyBorder="1" applyAlignment="1" applyProtection="1">
      <alignment horizontal="left" vertical="center"/>
    </xf>
    <xf numFmtId="0" fontId="63" fillId="9" borderId="13" xfId="0" applyFont="1" applyFill="1" applyBorder="1" applyAlignment="1" applyProtection="1">
      <alignment horizontal="center" vertical="center"/>
    </xf>
    <xf numFmtId="184" fontId="63" fillId="9" borderId="4" xfId="0" applyNumberFormat="1" applyFont="1" applyFill="1" applyBorder="1" applyAlignment="1" applyProtection="1">
      <alignment vertical="center"/>
    </xf>
    <xf numFmtId="4" fontId="63" fillId="9" borderId="133" xfId="0" applyNumberFormat="1" applyFont="1" applyFill="1" applyBorder="1" applyAlignment="1" applyProtection="1">
      <alignment horizontal="right" vertical="center"/>
    </xf>
    <xf numFmtId="184" fontId="63" fillId="9" borderId="5" xfId="0" applyNumberFormat="1" applyFont="1" applyFill="1" applyBorder="1" applyAlignment="1" applyProtection="1">
      <alignment vertical="center"/>
    </xf>
    <xf numFmtId="0" fontId="63" fillId="9" borderId="44" xfId="0" applyFont="1" applyFill="1" applyBorder="1" applyAlignment="1" applyProtection="1">
      <alignment vertical="center"/>
    </xf>
    <xf numFmtId="185" fontId="63" fillId="9" borderId="4" xfId="0" applyNumberFormat="1" applyFont="1" applyFill="1" applyBorder="1" applyAlignment="1" applyProtection="1">
      <alignment vertical="center"/>
    </xf>
    <xf numFmtId="0" fontId="63" fillId="0" borderId="133" xfId="0" applyFont="1" applyBorder="1" applyAlignment="1" applyProtection="1">
      <alignment vertical="center"/>
    </xf>
    <xf numFmtId="4" fontId="63" fillId="9" borderId="4" xfId="0" applyNumberFormat="1" applyFont="1" applyFill="1" applyBorder="1" applyAlignment="1" applyProtection="1">
      <alignment horizontal="right" vertical="center"/>
    </xf>
    <xf numFmtId="10" fontId="63" fillId="9" borderId="4" xfId="0" applyNumberFormat="1" applyFont="1" applyFill="1" applyBorder="1" applyAlignment="1" applyProtection="1">
      <alignment horizontal="right" vertical="center"/>
    </xf>
    <xf numFmtId="184" fontId="63" fillId="9" borderId="4" xfId="0" applyNumberFormat="1" applyFont="1" applyFill="1" applyBorder="1" applyAlignment="1" applyProtection="1">
      <alignment horizontal="left" vertical="center"/>
    </xf>
    <xf numFmtId="184" fontId="66" fillId="9" borderId="133" xfId="1" applyNumberFormat="1" applyFont="1" applyFill="1" applyBorder="1" applyAlignment="1" applyProtection="1">
      <alignment vertical="center"/>
    </xf>
    <xf numFmtId="0" fontId="63" fillId="9" borderId="0" xfId="0" applyFont="1" applyFill="1" applyBorder="1" applyAlignment="1" applyProtection="1">
      <alignment horizontal="right" vertical="center"/>
    </xf>
    <xf numFmtId="4" fontId="63" fillId="9" borderId="62" xfId="0" applyNumberFormat="1" applyFont="1" applyFill="1" applyBorder="1" applyAlignment="1" applyProtection="1">
      <alignment horizontal="center" vertical="center"/>
    </xf>
    <xf numFmtId="185" fontId="63" fillId="9" borderId="3" xfId="0" applyNumberFormat="1" applyFont="1" applyFill="1" applyBorder="1" applyAlignment="1" applyProtection="1">
      <alignment horizontal="center" vertical="center"/>
    </xf>
    <xf numFmtId="167" fontId="63" fillId="9" borderId="3" xfId="0" applyNumberFormat="1" applyFont="1" applyFill="1" applyBorder="1" applyAlignment="1" applyProtection="1">
      <alignment horizontal="center" vertical="center"/>
    </xf>
    <xf numFmtId="49" fontId="66" fillId="9" borderId="0" xfId="0" applyNumberFormat="1" applyFont="1" applyFill="1" applyBorder="1" applyAlignment="1" applyProtection="1">
      <alignment vertical="center"/>
    </xf>
    <xf numFmtId="0" fontId="63" fillId="9" borderId="9" xfId="0" applyFont="1" applyFill="1" applyBorder="1" applyAlignment="1" applyProtection="1">
      <alignment horizontal="center" vertical="center"/>
    </xf>
    <xf numFmtId="0" fontId="63" fillId="9" borderId="13" xfId="0" applyFont="1" applyFill="1" applyBorder="1" applyAlignment="1" applyProtection="1">
      <alignment vertical="center"/>
    </xf>
    <xf numFmtId="4" fontId="63" fillId="9" borderId="7" xfId="0" applyNumberFormat="1" applyFont="1" applyFill="1" applyBorder="1" applyAlignment="1" applyProtection="1">
      <alignment vertical="center"/>
    </xf>
    <xf numFmtId="169" fontId="63" fillId="9" borderId="0" xfId="1" applyNumberFormat="1" applyFont="1" applyFill="1" applyBorder="1" applyAlignment="1" applyProtection="1">
      <alignment vertical="center"/>
    </xf>
    <xf numFmtId="4" fontId="63" fillId="11" borderId="142" xfId="0" applyNumberFormat="1" applyFont="1" applyFill="1" applyBorder="1" applyAlignment="1" applyProtection="1">
      <alignment horizontal="center" vertical="center"/>
      <protection locked="0"/>
    </xf>
    <xf numFmtId="187" fontId="63" fillId="9" borderId="67" xfId="0" applyNumberFormat="1" applyFont="1" applyFill="1" applyBorder="1" applyAlignment="1" applyProtection="1">
      <alignment horizontal="center" vertical="center"/>
    </xf>
    <xf numFmtId="1" fontId="63" fillId="9" borderId="67" xfId="0" applyNumberFormat="1" applyFont="1" applyFill="1" applyBorder="1" applyAlignment="1" applyProtection="1">
      <alignment horizontal="center" vertical="center"/>
    </xf>
    <xf numFmtId="187" fontId="63" fillId="9" borderId="33" xfId="0" applyNumberFormat="1" applyFont="1" applyFill="1" applyBorder="1" applyAlignment="1" applyProtection="1">
      <alignment horizontal="center" vertical="center"/>
    </xf>
    <xf numFmtId="4" fontId="63" fillId="9" borderId="33" xfId="0" applyNumberFormat="1" applyFont="1" applyFill="1" applyBorder="1" applyAlignment="1" applyProtection="1">
      <alignment horizontal="center" vertical="center"/>
    </xf>
    <xf numFmtId="2" fontId="63" fillId="9" borderId="62" xfId="0" applyNumberFormat="1" applyFont="1" applyFill="1" applyBorder="1" applyAlignment="1" applyProtection="1">
      <alignment horizontal="center" vertical="center"/>
    </xf>
    <xf numFmtId="185" fontId="63" fillId="9" borderId="142" xfId="0" applyNumberFormat="1" applyFont="1" applyFill="1" applyBorder="1" applyAlignment="1" applyProtection="1">
      <alignment vertical="center"/>
    </xf>
    <xf numFmtId="167" fontId="63" fillId="9" borderId="0" xfId="0" applyNumberFormat="1" applyFont="1" applyFill="1" applyBorder="1" applyAlignment="1" applyProtection="1">
      <alignment horizontal="center" vertical="center"/>
    </xf>
    <xf numFmtId="184" fontId="63" fillId="9" borderId="3" xfId="1" applyNumberFormat="1" applyFont="1" applyFill="1" applyBorder="1" applyAlignment="1" applyProtection="1">
      <alignment vertical="center"/>
    </xf>
    <xf numFmtId="184" fontId="63" fillId="9" borderId="7" xfId="1" applyNumberFormat="1" applyFont="1" applyFill="1" applyBorder="1" applyAlignment="1" applyProtection="1">
      <alignment vertical="center"/>
    </xf>
    <xf numFmtId="165" fontId="66" fillId="9" borderId="5" xfId="1" applyNumberFormat="1" applyFont="1" applyFill="1" applyBorder="1" applyAlignment="1" applyProtection="1">
      <alignment horizontal="right" vertical="center"/>
    </xf>
    <xf numFmtId="0" fontId="63" fillId="9" borderId="7" xfId="0" applyFont="1" applyFill="1" applyBorder="1" applyAlignment="1" applyProtection="1">
      <alignment vertical="center" wrapText="1"/>
    </xf>
    <xf numFmtId="0" fontId="63" fillId="9" borderId="8" xfId="0" applyFont="1" applyFill="1" applyBorder="1" applyAlignment="1" applyProtection="1">
      <alignment vertical="center" wrapText="1"/>
    </xf>
    <xf numFmtId="0" fontId="63" fillId="9" borderId="0" xfId="0" applyFont="1" applyFill="1" applyBorder="1" applyAlignment="1" applyProtection="1">
      <alignment horizontal="justify" vertical="center" wrapText="1"/>
    </xf>
    <xf numFmtId="0" fontId="63" fillId="9" borderId="10" xfId="0" applyFont="1" applyFill="1" applyBorder="1" applyAlignment="1" applyProtection="1">
      <alignment horizontal="justify" vertical="center" wrapText="1"/>
    </xf>
    <xf numFmtId="0" fontId="63" fillId="9" borderId="11" xfId="0" applyFont="1" applyFill="1" applyBorder="1" applyAlignment="1" applyProtection="1">
      <alignment horizontal="center" vertical="center"/>
    </xf>
    <xf numFmtId="184" fontId="63" fillId="9" borderId="62" xfId="1" applyNumberFormat="1" applyFont="1" applyFill="1" applyBorder="1" applyAlignment="1" applyProtection="1">
      <alignment horizontal="right" vertical="center"/>
    </xf>
    <xf numFmtId="4" fontId="63" fillId="9" borderId="0" xfId="0" applyNumberFormat="1" applyFont="1" applyFill="1" applyBorder="1" applyAlignment="1" applyProtection="1">
      <alignment horizontal="left" vertical="center"/>
    </xf>
    <xf numFmtId="184" fontId="63" fillId="9" borderId="2" xfId="0" applyNumberFormat="1" applyFont="1" applyFill="1" applyBorder="1" applyAlignment="1" applyProtection="1">
      <alignment horizontal="right" vertical="center"/>
    </xf>
    <xf numFmtId="0" fontId="66" fillId="9" borderId="11" xfId="0" applyFont="1" applyFill="1" applyBorder="1" applyAlignment="1" applyProtection="1">
      <alignment horizontal="center" vertical="center"/>
    </xf>
    <xf numFmtId="0" fontId="66" fillId="9" borderId="12" xfId="0" applyFont="1" applyFill="1" applyBorder="1" applyAlignment="1" applyProtection="1">
      <alignment horizontal="center" vertical="center"/>
    </xf>
    <xf numFmtId="4" fontId="63" fillId="9" borderId="9" xfId="0" applyNumberFormat="1" applyFont="1" applyFill="1" applyBorder="1" applyAlignment="1" applyProtection="1">
      <alignment horizontal="center" vertical="center"/>
    </xf>
    <xf numFmtId="185" fontId="63" fillId="9" borderId="62" xfId="0" applyNumberFormat="1" applyFont="1" applyFill="1" applyBorder="1" applyAlignment="1" applyProtection="1">
      <alignment horizontal="center" vertical="center"/>
    </xf>
    <xf numFmtId="1" fontId="63" fillId="9" borderId="33" xfId="0" applyNumberFormat="1" applyFont="1" applyFill="1" applyBorder="1" applyAlignment="1" applyProtection="1">
      <alignment horizontal="center" vertical="center"/>
    </xf>
    <xf numFmtId="0" fontId="63" fillId="9" borderId="9" xfId="0" applyFont="1" applyFill="1" applyBorder="1" applyAlignment="1" applyProtection="1">
      <alignment vertical="top"/>
    </xf>
    <xf numFmtId="0" fontId="63" fillId="9" borderId="0" xfId="0" applyFont="1" applyFill="1" applyBorder="1" applyAlignment="1" applyProtection="1">
      <alignment vertical="top"/>
    </xf>
    <xf numFmtId="0" fontId="63" fillId="9" borderId="10" xfId="0" applyFont="1" applyFill="1" applyBorder="1" applyAlignment="1" applyProtection="1">
      <alignment horizontal="left" vertical="top" wrapText="1"/>
    </xf>
    <xf numFmtId="0" fontId="63" fillId="9" borderId="12" xfId="0" applyFont="1" applyFill="1" applyBorder="1" applyAlignment="1" applyProtection="1">
      <alignment vertical="top"/>
    </xf>
    <xf numFmtId="0" fontId="66" fillId="9" borderId="0" xfId="0" applyNumberFormat="1" applyFont="1" applyFill="1" applyBorder="1" applyAlignment="1" applyProtection="1">
      <alignment horizontal="left" vertical="center"/>
    </xf>
    <xf numFmtId="49" fontId="63" fillId="9" borderId="0" xfId="0" applyNumberFormat="1" applyFont="1" applyFill="1" applyBorder="1" applyAlignment="1" applyProtection="1">
      <alignment horizontal="left" vertical="center"/>
    </xf>
    <xf numFmtId="185" fontId="63" fillId="9" borderId="10" xfId="0" applyNumberFormat="1" applyFont="1" applyFill="1" applyBorder="1" applyAlignment="1" applyProtection="1">
      <alignment horizontal="right" vertical="center"/>
    </xf>
    <xf numFmtId="185" fontId="63" fillId="9" borderId="13" xfId="0" applyNumberFormat="1" applyFont="1" applyFill="1" applyBorder="1" applyAlignment="1" applyProtection="1">
      <alignment horizontal="right" vertical="center"/>
    </xf>
    <xf numFmtId="4" fontId="66" fillId="9" borderId="9" xfId="0" applyNumberFormat="1" applyFont="1" applyFill="1" applyBorder="1" applyAlignment="1" applyProtection="1">
      <alignment horizontal="right" vertical="center"/>
    </xf>
    <xf numFmtId="4" fontId="66" fillId="9" borderId="0" xfId="0" applyNumberFormat="1" applyFont="1" applyFill="1" applyBorder="1" applyAlignment="1" applyProtection="1">
      <alignment horizontal="left" vertical="center"/>
    </xf>
    <xf numFmtId="0" fontId="63" fillId="9" borderId="0" xfId="0" applyFont="1" applyFill="1" applyBorder="1" applyAlignment="1" applyProtection="1">
      <alignment horizontal="left" vertical="center" wrapText="1"/>
    </xf>
    <xf numFmtId="0" fontId="63" fillId="9" borderId="9" xfId="0" applyFont="1" applyFill="1" applyBorder="1" applyAlignment="1" applyProtection="1">
      <alignment horizontal="right" vertical="center"/>
    </xf>
    <xf numFmtId="0" fontId="63" fillId="9" borderId="2" xfId="23" applyFont="1" applyFill="1" applyBorder="1" applyAlignment="1" applyProtection="1">
      <alignment horizontal="center" vertical="center"/>
    </xf>
    <xf numFmtId="4" fontId="63" fillId="9" borderId="62" xfId="23" applyNumberFormat="1" applyFont="1" applyFill="1" applyBorder="1" applyAlignment="1" applyProtection="1">
      <alignment horizontal="center" vertical="center"/>
    </xf>
    <xf numFmtId="0" fontId="63" fillId="9" borderId="62" xfId="23" applyFont="1" applyFill="1" applyBorder="1" applyAlignment="1" applyProtection="1">
      <alignment horizontal="center" vertical="center"/>
    </xf>
    <xf numFmtId="4" fontId="66" fillId="9" borderId="6" xfId="23" applyNumberFormat="1" applyFont="1" applyFill="1" applyBorder="1" applyAlignment="1" applyProtection="1">
      <alignment vertical="center"/>
    </xf>
    <xf numFmtId="4" fontId="66" fillId="9" borderId="7" xfId="23" applyNumberFormat="1" applyFont="1" applyFill="1" applyBorder="1" applyAlignment="1" applyProtection="1">
      <alignment vertical="center"/>
    </xf>
    <xf numFmtId="4" fontId="66" fillId="9" borderId="8" xfId="23" applyNumberFormat="1" applyFont="1" applyFill="1" applyBorder="1" applyAlignment="1" applyProtection="1">
      <alignment vertical="center"/>
    </xf>
    <xf numFmtId="10" fontId="63" fillId="11" borderId="6" xfId="30" applyNumberFormat="1" applyFont="1" applyFill="1" applyBorder="1" applyAlignment="1" applyProtection="1">
      <alignment horizontal="center" vertical="center"/>
      <protection locked="0"/>
    </xf>
    <xf numFmtId="187" fontId="63" fillId="9" borderId="6" xfId="23" applyNumberFormat="1" applyFont="1" applyFill="1" applyBorder="1" applyAlignment="1" applyProtection="1">
      <alignment vertical="center"/>
    </xf>
    <xf numFmtId="187" fontId="63" fillId="9" borderId="7" xfId="23" applyNumberFormat="1" applyFont="1" applyFill="1" applyBorder="1" applyAlignment="1" applyProtection="1">
      <alignment vertical="center"/>
    </xf>
    <xf numFmtId="167" fontId="63" fillId="9" borderId="8" xfId="23" applyNumberFormat="1" applyFont="1" applyFill="1" applyBorder="1" applyAlignment="1" applyProtection="1">
      <alignment horizontal="center" vertical="center"/>
    </xf>
    <xf numFmtId="184" fontId="63" fillId="9" borderId="2" xfId="1" applyNumberFormat="1" applyFont="1" applyFill="1" applyBorder="1" applyAlignment="1" applyProtection="1">
      <alignment horizontal="right" vertical="center"/>
    </xf>
    <xf numFmtId="4" fontId="66" fillId="9" borderId="9" xfId="23" applyNumberFormat="1" applyFont="1" applyFill="1" applyBorder="1" applyAlignment="1" applyProtection="1">
      <alignment vertical="center"/>
    </xf>
    <xf numFmtId="4" fontId="66" fillId="9" borderId="0" xfId="23" applyNumberFormat="1" applyFont="1" applyFill="1" applyBorder="1" applyAlignment="1" applyProtection="1">
      <alignment vertical="center"/>
    </xf>
    <xf numFmtId="4" fontId="66" fillId="9" borderId="10" xfId="23" applyNumberFormat="1" applyFont="1" applyFill="1" applyBorder="1" applyAlignment="1" applyProtection="1">
      <alignment vertical="center"/>
    </xf>
    <xf numFmtId="10" fontId="63" fillId="11" borderId="9" xfId="30" applyNumberFormat="1" applyFont="1" applyFill="1" applyBorder="1" applyAlignment="1" applyProtection="1">
      <alignment horizontal="center" vertical="center"/>
      <protection locked="0"/>
    </xf>
    <xf numFmtId="187" fontId="63" fillId="9" borderId="9" xfId="23" applyNumberFormat="1" applyFont="1" applyFill="1" applyBorder="1" applyAlignment="1" applyProtection="1">
      <alignment vertical="center"/>
    </xf>
    <xf numFmtId="187" fontId="63" fillId="9" borderId="0" xfId="23" applyNumberFormat="1" applyFont="1" applyFill="1" applyBorder="1" applyAlignment="1" applyProtection="1">
      <alignment vertical="center"/>
    </xf>
    <xf numFmtId="167" fontId="63" fillId="9" borderId="10" xfId="23" applyNumberFormat="1" applyFont="1" applyFill="1" applyBorder="1" applyAlignment="1" applyProtection="1">
      <alignment horizontal="center" vertical="center"/>
    </xf>
    <xf numFmtId="4" fontId="66" fillId="9" borderId="11" xfId="23" applyNumberFormat="1" applyFont="1" applyFill="1" applyBorder="1" applyAlignment="1" applyProtection="1">
      <alignment vertical="center"/>
    </xf>
    <xf numFmtId="4" fontId="66" fillId="9" borderId="12" xfId="23" applyNumberFormat="1" applyFont="1" applyFill="1" applyBorder="1" applyAlignment="1" applyProtection="1">
      <alignment vertical="center"/>
    </xf>
    <xf numFmtId="4" fontId="66" fillId="9" borderId="13" xfId="23" applyNumberFormat="1" applyFont="1" applyFill="1" applyBorder="1" applyAlignment="1" applyProtection="1">
      <alignment vertical="center"/>
    </xf>
    <xf numFmtId="10" fontId="63" fillId="11" borderId="11" xfId="30" applyNumberFormat="1" applyFont="1" applyFill="1" applyBorder="1" applyAlignment="1" applyProtection="1">
      <alignment horizontal="center" vertical="center"/>
      <protection locked="0"/>
    </xf>
    <xf numFmtId="0" fontId="63" fillId="9" borderId="11" xfId="23" applyFont="1" applyFill="1" applyBorder="1" applyAlignment="1" applyProtection="1">
      <alignment vertical="center"/>
    </xf>
    <xf numFmtId="0" fontId="63" fillId="9" borderId="12" xfId="23" applyFont="1" applyFill="1" applyBorder="1" applyAlignment="1" applyProtection="1">
      <alignment vertical="center"/>
    </xf>
    <xf numFmtId="167" fontId="63" fillId="9" borderId="13" xfId="23" applyNumberFormat="1" applyFont="1" applyFill="1" applyBorder="1" applyAlignment="1" applyProtection="1">
      <alignment horizontal="center" vertical="center"/>
    </xf>
    <xf numFmtId="184" fontId="63" fillId="9" borderId="10" xfId="23" applyNumberFormat="1" applyFont="1" applyFill="1" applyBorder="1" applyAlignment="1" applyProtection="1">
      <alignment horizontal="right" vertical="center"/>
    </xf>
    <xf numFmtId="0" fontId="66" fillId="9" borderId="4" xfId="0" applyFont="1" applyFill="1" applyBorder="1" applyAlignment="1" applyProtection="1">
      <alignment horizontal="right" vertical="center"/>
    </xf>
    <xf numFmtId="10" fontId="66" fillId="9" borderId="0" xfId="0" applyNumberFormat="1" applyFont="1" applyFill="1" applyBorder="1" applyAlignment="1" applyProtection="1">
      <alignment horizontal="right" vertical="center"/>
    </xf>
    <xf numFmtId="9" fontId="66" fillId="11" borderId="5" xfId="30" applyFont="1" applyFill="1" applyBorder="1" applyAlignment="1" applyProtection="1">
      <alignment horizontal="right" vertical="center"/>
      <protection locked="0"/>
    </xf>
    <xf numFmtId="0" fontId="66" fillId="9" borderId="7" xfId="0" applyFont="1" applyFill="1" applyBorder="1" applyAlignment="1" applyProtection="1">
      <alignment horizontal="right" vertical="top"/>
    </xf>
    <xf numFmtId="0" fontId="63" fillId="9" borderId="0" xfId="0" applyFont="1" applyFill="1" applyBorder="1" applyAlignment="1" applyProtection="1">
      <alignment horizontal="right" vertical="top"/>
    </xf>
    <xf numFmtId="0" fontId="66" fillId="9" borderId="11" xfId="0" applyFont="1" applyFill="1" applyBorder="1" applyAlignment="1" applyProtection="1">
      <alignment vertical="top"/>
    </xf>
    <xf numFmtId="0" fontId="63" fillId="9" borderId="12" xfId="0" applyFont="1" applyFill="1" applyBorder="1" applyAlignment="1" applyProtection="1">
      <alignment horizontal="right" vertical="center"/>
    </xf>
    <xf numFmtId="188" fontId="63" fillId="9" borderId="10" xfId="0" applyNumberFormat="1" applyFont="1" applyFill="1" applyBorder="1" applyAlignment="1" applyProtection="1">
      <alignment horizontal="center" vertical="center"/>
    </xf>
    <xf numFmtId="188" fontId="63" fillId="9" borderId="13" xfId="0" applyNumberFormat="1" applyFont="1" applyFill="1" applyBorder="1" applyAlignment="1" applyProtection="1">
      <alignment horizontal="center" vertical="center"/>
    </xf>
    <xf numFmtId="0" fontId="63" fillId="9" borderId="8" xfId="0" applyFont="1" applyFill="1" applyBorder="1" applyAlignment="1" applyProtection="1">
      <alignment horizontal="center" vertical="center"/>
    </xf>
    <xf numFmtId="188" fontId="63" fillId="11" borderId="2" xfId="0" applyNumberFormat="1" applyFont="1" applyFill="1" applyBorder="1" applyAlignment="1" applyProtection="1">
      <alignment horizontal="center" vertical="center"/>
      <protection locked="0"/>
    </xf>
    <xf numFmtId="188" fontId="63" fillId="11" borderId="3" xfId="0" applyNumberFormat="1" applyFont="1" applyFill="1" applyBorder="1" applyAlignment="1" applyProtection="1">
      <alignment horizontal="center" vertical="center"/>
      <protection locked="0"/>
    </xf>
    <xf numFmtId="4" fontId="63" fillId="9" borderId="0" xfId="0" applyNumberFormat="1" applyFont="1" applyFill="1" applyBorder="1" applyAlignment="1" applyProtection="1">
      <alignment vertical="center"/>
    </xf>
    <xf numFmtId="4" fontId="63" fillId="9" borderId="10" xfId="0" applyNumberFormat="1" applyFont="1" applyFill="1" applyBorder="1" applyAlignment="1" applyProtection="1">
      <alignment horizontal="center" vertical="center"/>
    </xf>
    <xf numFmtId="188" fontId="63" fillId="11" borderId="10" xfId="0" applyNumberFormat="1" applyFont="1" applyFill="1" applyBorder="1" applyAlignment="1" applyProtection="1">
      <alignment horizontal="center" vertical="center"/>
      <protection locked="0"/>
    </xf>
    <xf numFmtId="0" fontId="66" fillId="11" borderId="11" xfId="0" applyFont="1" applyFill="1" applyBorder="1" applyAlignment="1" applyProtection="1">
      <alignment horizontal="right" vertical="center"/>
      <protection locked="0"/>
    </xf>
    <xf numFmtId="2" fontId="66" fillId="11" borderId="12" xfId="0" applyNumberFormat="1" applyFont="1" applyFill="1" applyBorder="1" applyAlignment="1" applyProtection="1">
      <alignment horizontal="left" vertical="center"/>
      <protection locked="0"/>
    </xf>
    <xf numFmtId="0" fontId="63" fillId="11" borderId="12" xfId="0" applyFont="1" applyFill="1" applyBorder="1" applyAlignment="1" applyProtection="1">
      <alignment horizontal="left" vertical="center"/>
      <protection locked="0"/>
    </xf>
    <xf numFmtId="0" fontId="63" fillId="11" borderId="12" xfId="0" applyFont="1" applyFill="1" applyBorder="1" applyAlignment="1" applyProtection="1">
      <alignment vertical="center"/>
      <protection locked="0"/>
    </xf>
    <xf numFmtId="0" fontId="63" fillId="11" borderId="12" xfId="0" applyFont="1" applyFill="1" applyBorder="1" applyAlignment="1" applyProtection="1">
      <alignment horizontal="center" vertical="center"/>
      <protection locked="0"/>
    </xf>
    <xf numFmtId="0" fontId="63" fillId="11" borderId="13" xfId="0" applyFont="1" applyFill="1" applyBorder="1" applyAlignment="1" applyProtection="1">
      <alignment horizontal="center" vertical="center"/>
      <protection locked="0"/>
    </xf>
    <xf numFmtId="188" fontId="63" fillId="11" borderId="13" xfId="0" applyNumberFormat="1" applyFont="1" applyFill="1" applyBorder="1" applyAlignment="1" applyProtection="1">
      <alignment horizontal="center" vertical="center"/>
      <protection locked="0"/>
    </xf>
    <xf numFmtId="0" fontId="63" fillId="11" borderId="11" xfId="0" applyFont="1" applyFill="1" applyBorder="1" applyAlignment="1" applyProtection="1">
      <alignment horizontal="center" vertical="center"/>
      <protection locked="0"/>
    </xf>
    <xf numFmtId="2" fontId="63" fillId="11" borderId="12" xfId="0" applyNumberFormat="1" applyFont="1" applyFill="1" applyBorder="1" applyAlignment="1" applyProtection="1">
      <alignment horizontal="center" vertical="center"/>
      <protection locked="0"/>
    </xf>
    <xf numFmtId="0" fontId="63" fillId="11" borderId="13" xfId="0" applyFont="1" applyFill="1" applyBorder="1" applyAlignment="1" applyProtection="1">
      <alignment vertical="center"/>
      <protection locked="0"/>
    </xf>
    <xf numFmtId="4" fontId="63" fillId="11" borderId="3" xfId="0" applyNumberFormat="1" applyFont="1" applyFill="1" applyBorder="1" applyAlignment="1" applyProtection="1">
      <alignment horizontal="center" vertical="center"/>
      <protection locked="0"/>
    </xf>
    <xf numFmtId="188" fontId="63" fillId="9" borderId="3" xfId="0" applyNumberFormat="1" applyFont="1" applyFill="1" applyBorder="1" applyAlignment="1" applyProtection="1">
      <alignment horizontal="center" vertical="center"/>
    </xf>
    <xf numFmtId="187" fontId="63" fillId="9" borderId="35" xfId="0" applyNumberFormat="1" applyFont="1" applyFill="1" applyBorder="1" applyAlignment="1" applyProtection="1">
      <alignment horizontal="center" vertical="center"/>
    </xf>
    <xf numFmtId="4" fontId="63" fillId="9" borderId="35" xfId="0" applyNumberFormat="1" applyFont="1" applyFill="1" applyBorder="1" applyAlignment="1" applyProtection="1">
      <alignment horizontal="center" vertical="center"/>
    </xf>
    <xf numFmtId="188" fontId="63" fillId="9" borderId="62" xfId="0" applyNumberFormat="1" applyFont="1" applyFill="1" applyBorder="1" applyAlignment="1" applyProtection="1">
      <alignment horizontal="center" vertical="center"/>
    </xf>
    <xf numFmtId="4" fontId="66" fillId="9" borderId="5" xfId="1" applyNumberFormat="1" applyFont="1" applyFill="1" applyBorder="1" applyAlignment="1" applyProtection="1">
      <alignment horizontal="right" vertical="center"/>
    </xf>
    <xf numFmtId="0" fontId="63" fillId="9" borderId="0" xfId="0" applyFont="1" applyFill="1" applyBorder="1" applyAlignment="1" applyProtection="1">
      <alignment horizontal="left" vertical="top" wrapText="1"/>
    </xf>
    <xf numFmtId="0" fontId="63" fillId="9" borderId="12" xfId="0" applyFont="1" applyFill="1" applyBorder="1" applyAlignment="1" applyProtection="1">
      <alignment horizontal="left" vertical="top" wrapText="1"/>
    </xf>
    <xf numFmtId="0" fontId="63" fillId="9" borderId="13" xfId="0" applyFont="1" applyFill="1" applyBorder="1" applyAlignment="1" applyProtection="1">
      <alignment horizontal="left" vertical="top" wrapText="1"/>
    </xf>
    <xf numFmtId="0" fontId="63" fillId="9" borderId="9" xfId="0" applyFont="1" applyFill="1" applyBorder="1" applyAlignment="1" applyProtection="1">
      <alignment horizontal="left"/>
    </xf>
    <xf numFmtId="0" fontId="66" fillId="9" borderId="10" xfId="0" applyFont="1" applyFill="1" applyBorder="1" applyAlignment="1" applyProtection="1">
      <alignment horizontal="right"/>
    </xf>
    <xf numFmtId="0" fontId="63" fillId="9" borderId="10" xfId="0" applyFont="1" applyFill="1" applyBorder="1" applyAlignment="1" applyProtection="1">
      <alignment horizontal="left" vertical="center"/>
    </xf>
    <xf numFmtId="184" fontId="63" fillId="9" borderId="10" xfId="1" applyNumberFormat="1" applyFont="1" applyFill="1" applyBorder="1" applyAlignment="1" applyProtection="1">
      <alignment vertical="center"/>
    </xf>
    <xf numFmtId="185" fontId="63" fillId="11" borderId="4" xfId="0" applyNumberFormat="1" applyFont="1" applyFill="1" applyBorder="1" applyAlignment="1" applyProtection="1">
      <alignment vertical="center"/>
      <protection locked="0"/>
    </xf>
    <xf numFmtId="0" fontId="63" fillId="9" borderId="9" xfId="0" applyFont="1" applyFill="1" applyBorder="1" applyAlignment="1" applyProtection="1">
      <alignment horizontal="left" vertical="center"/>
    </xf>
    <xf numFmtId="185" fontId="63" fillId="9" borderId="2" xfId="0" applyNumberFormat="1" applyFont="1" applyFill="1" applyBorder="1" applyAlignment="1" applyProtection="1">
      <alignment horizontal="center" vertical="center"/>
    </xf>
    <xf numFmtId="184" fontId="63" fillId="9" borderId="2" xfId="1" applyNumberFormat="1" applyFont="1" applyFill="1" applyBorder="1" applyAlignment="1" applyProtection="1">
      <alignment vertical="center"/>
    </xf>
    <xf numFmtId="184" fontId="63" fillId="9" borderId="62" xfId="1" applyNumberFormat="1" applyFont="1" applyFill="1" applyBorder="1" applyAlignment="1" applyProtection="1">
      <alignment vertical="center"/>
    </xf>
    <xf numFmtId="185" fontId="63" fillId="9" borderId="62" xfId="0" applyNumberFormat="1" applyFont="1" applyFill="1" applyBorder="1" applyAlignment="1" applyProtection="1">
      <alignment vertical="center"/>
    </xf>
    <xf numFmtId="0" fontId="63" fillId="9" borderId="9" xfId="0" applyFont="1" applyFill="1" applyBorder="1" applyAlignment="1" applyProtection="1">
      <alignment vertical="top" wrapText="1"/>
    </xf>
    <xf numFmtId="0" fontId="63" fillId="9" borderId="0" xfId="0" applyFont="1" applyFill="1" applyBorder="1" applyAlignment="1" applyProtection="1">
      <alignment vertical="top" wrapText="1"/>
    </xf>
    <xf numFmtId="0" fontId="63" fillId="9" borderId="10" xfId="0" applyFont="1" applyFill="1" applyBorder="1" applyAlignment="1" applyProtection="1">
      <alignment vertical="top" wrapText="1"/>
    </xf>
    <xf numFmtId="0" fontId="63" fillId="9" borderId="11" xfId="0" applyFont="1" applyFill="1" applyBorder="1" applyAlignment="1" applyProtection="1">
      <alignment vertical="top" wrapText="1"/>
    </xf>
    <xf numFmtId="0" fontId="63" fillId="9" borderId="4" xfId="0" applyFont="1" applyFill="1" applyBorder="1" applyAlignment="1" applyProtection="1">
      <alignment horizontal="right" vertical="center"/>
    </xf>
    <xf numFmtId="0" fontId="54" fillId="3" borderId="2" xfId="0" applyFont="1" applyFill="1" applyBorder="1" applyAlignment="1" applyProtection="1">
      <alignment horizontal="center" vertical="center" wrapText="1"/>
    </xf>
    <xf numFmtId="49" fontId="54" fillId="3" borderId="3" xfId="0" applyNumberFormat="1" applyFont="1" applyFill="1" applyBorder="1" applyAlignment="1" applyProtection="1">
      <alignment horizontal="center" vertical="center" wrapText="1"/>
    </xf>
    <xf numFmtId="0" fontId="39" fillId="9" borderId="11" xfId="0" applyFont="1" applyFill="1" applyBorder="1" applyAlignment="1" applyProtection="1">
      <alignment vertical="center"/>
    </xf>
    <xf numFmtId="0" fontId="39" fillId="9" borderId="12" xfId="0" applyFont="1" applyFill="1" applyBorder="1" applyAlignment="1" applyProtection="1">
      <alignment vertical="center"/>
    </xf>
    <xf numFmtId="0" fontId="39" fillId="9" borderId="12" xfId="0" applyFont="1" applyFill="1" applyBorder="1" applyProtection="1"/>
    <xf numFmtId="0" fontId="39" fillId="9" borderId="12" xfId="0" applyFont="1" applyFill="1" applyBorder="1" applyAlignment="1" applyProtection="1">
      <alignment horizontal="left"/>
    </xf>
    <xf numFmtId="0" fontId="54" fillId="9" borderId="12" xfId="0" applyFont="1" applyFill="1" applyBorder="1" applyAlignment="1" applyProtection="1">
      <alignment horizontal="right"/>
    </xf>
    <xf numFmtId="0" fontId="39" fillId="9" borderId="13" xfId="0" applyFont="1" applyFill="1" applyBorder="1" applyProtection="1"/>
    <xf numFmtId="0" fontId="54" fillId="9" borderId="0" xfId="0" applyFont="1" applyFill="1" applyAlignment="1" applyProtection="1">
      <alignment horizontal="right"/>
    </xf>
    <xf numFmtId="178" fontId="54" fillId="9" borderId="0" xfId="0" applyNumberFormat="1" applyFont="1" applyFill="1" applyBorder="1" applyAlignment="1" applyProtection="1"/>
    <xf numFmtId="0" fontId="54" fillId="9" borderId="0" xfId="0" applyFont="1" applyFill="1" applyBorder="1" applyAlignment="1" applyProtection="1"/>
    <xf numFmtId="0" fontId="54" fillId="9" borderId="10" xfId="0" applyFont="1" applyFill="1" applyBorder="1" applyAlignment="1" applyProtection="1"/>
    <xf numFmtId="0" fontId="39" fillId="9" borderId="11" xfId="0" applyFont="1" applyFill="1" applyBorder="1" applyAlignment="1" applyProtection="1">
      <alignment horizontal="left"/>
    </xf>
    <xf numFmtId="0" fontId="54" fillId="9" borderId="12" xfId="0" applyFont="1" applyFill="1" applyBorder="1" applyProtection="1"/>
    <xf numFmtId="0" fontId="54" fillId="9" borderId="13" xfId="0" applyFont="1" applyFill="1" applyBorder="1" applyAlignment="1" applyProtection="1">
      <alignment horizontal="right"/>
    </xf>
    <xf numFmtId="0" fontId="54" fillId="9" borderId="0" xfId="0" applyFont="1" applyFill="1" applyBorder="1" applyAlignment="1" applyProtection="1">
      <alignment horizontal="center" vertical="center"/>
    </xf>
    <xf numFmtId="0" fontId="39" fillId="3" borderId="44" xfId="0" applyFont="1" applyFill="1" applyBorder="1" applyAlignment="1" applyProtection="1">
      <alignment horizontal="left" vertical="center"/>
    </xf>
    <xf numFmtId="0" fontId="39" fillId="3" borderId="4" xfId="0" applyFont="1" applyFill="1" applyBorder="1" applyAlignment="1" applyProtection="1">
      <alignment horizontal="left" vertical="center"/>
    </xf>
    <xf numFmtId="2" fontId="54" fillId="3" borderId="4" xfId="0" applyNumberFormat="1" applyFont="1" applyFill="1" applyBorder="1" applyAlignment="1" applyProtection="1">
      <alignment horizontal="center" vertical="center"/>
    </xf>
    <xf numFmtId="0" fontId="39" fillId="3" borderId="4" xfId="0" applyFont="1" applyFill="1" applyBorder="1" applyAlignment="1" applyProtection="1">
      <alignment horizontal="right" vertical="center"/>
    </xf>
    <xf numFmtId="0" fontId="54" fillId="3" borderId="133" xfId="0" applyFont="1" applyFill="1" applyBorder="1" applyAlignment="1" applyProtection="1">
      <alignment vertical="center"/>
    </xf>
    <xf numFmtId="0" fontId="39" fillId="9" borderId="5" xfId="0" applyFont="1" applyFill="1" applyBorder="1" applyAlignment="1" applyProtection="1">
      <alignment horizontal="center" vertical="center"/>
    </xf>
    <xf numFmtId="0" fontId="39" fillId="9" borderId="2" xfId="0" applyFont="1" applyFill="1" applyBorder="1" applyAlignment="1" applyProtection="1">
      <alignment horizontal="center" vertical="center"/>
    </xf>
    <xf numFmtId="0" fontId="39" fillId="9" borderId="12" xfId="0" applyFont="1" applyFill="1" applyBorder="1" applyAlignment="1" applyProtection="1">
      <alignment horizontal="center" vertical="center"/>
    </xf>
    <xf numFmtId="0" fontId="39" fillId="9" borderId="62" xfId="0" applyFont="1" applyFill="1" applyBorder="1" applyAlignment="1" applyProtection="1">
      <alignment horizontal="center" vertical="center"/>
    </xf>
    <xf numFmtId="0" fontId="54" fillId="9" borderId="9" xfId="0" applyFont="1" applyFill="1" applyBorder="1" applyAlignment="1" applyProtection="1">
      <alignment horizontal="right" vertical="center"/>
    </xf>
    <xf numFmtId="0" fontId="54" fillId="9" borderId="0" xfId="0" applyFont="1" applyFill="1" applyBorder="1" applyAlignment="1" applyProtection="1">
      <alignment horizontal="left" vertical="center"/>
    </xf>
    <xf numFmtId="0" fontId="39" fillId="9" borderId="0" xfId="0" applyFont="1" applyFill="1" applyBorder="1" applyAlignment="1" applyProtection="1">
      <alignment horizontal="center" vertical="center"/>
    </xf>
    <xf numFmtId="0" fontId="39" fillId="9" borderId="10" xfId="0" applyFont="1" applyFill="1" applyBorder="1" applyAlignment="1" applyProtection="1">
      <alignment horizontal="left" vertical="center"/>
    </xf>
    <xf numFmtId="185" fontId="39" fillId="9" borderId="3" xfId="0" applyNumberFormat="1" applyFont="1" applyFill="1" applyBorder="1" applyAlignment="1" applyProtection="1">
      <alignment horizontal="center" vertical="center"/>
    </xf>
    <xf numFmtId="4" fontId="39" fillId="9" borderId="3" xfId="0" applyNumberFormat="1" applyFont="1" applyFill="1" applyBorder="1" applyAlignment="1" applyProtection="1">
      <alignment horizontal="center" vertical="center"/>
    </xf>
    <xf numFmtId="4" fontId="39" fillId="9" borderId="0" xfId="0" applyNumberFormat="1" applyFont="1" applyFill="1" applyBorder="1" applyAlignment="1" applyProtection="1">
      <alignment horizontal="center" vertical="center"/>
    </xf>
    <xf numFmtId="184" fontId="39" fillId="9" borderId="3" xfId="1" applyNumberFormat="1" applyFont="1" applyFill="1" applyBorder="1" applyAlignment="1" applyProtection="1">
      <alignment vertical="center"/>
    </xf>
    <xf numFmtId="0" fontId="39" fillId="9" borderId="9" xfId="0" applyFont="1" applyFill="1" applyBorder="1" applyAlignment="1" applyProtection="1">
      <alignment horizontal="right" vertical="center"/>
    </xf>
    <xf numFmtId="0" fontId="39" fillId="9" borderId="0" xfId="0" applyFont="1" applyFill="1" applyBorder="1" applyAlignment="1" applyProtection="1">
      <alignment horizontal="left" vertical="center"/>
    </xf>
    <xf numFmtId="185" fontId="39" fillId="9" borderId="62" xfId="0" applyNumberFormat="1" applyFont="1" applyFill="1" applyBorder="1" applyAlignment="1" applyProtection="1">
      <alignment horizontal="center" vertical="center"/>
    </xf>
    <xf numFmtId="184" fontId="39" fillId="9" borderId="62" xfId="1" applyNumberFormat="1" applyFont="1" applyFill="1" applyBorder="1" applyAlignment="1" applyProtection="1">
      <alignment vertical="center"/>
    </xf>
    <xf numFmtId="184" fontId="39" fillId="9" borderId="0" xfId="1" applyNumberFormat="1" applyFont="1" applyFill="1" applyBorder="1" applyAlignment="1" applyProtection="1">
      <alignment vertical="center"/>
    </xf>
    <xf numFmtId="184" fontId="39" fillId="9" borderId="5" xfId="1" applyNumberFormat="1" applyFont="1" applyFill="1" applyBorder="1" applyAlignment="1" applyProtection="1">
      <alignment vertical="center"/>
    </xf>
    <xf numFmtId="0" fontId="39" fillId="9" borderId="4" xfId="0" applyFont="1" applyFill="1" applyBorder="1" applyAlignment="1" applyProtection="1">
      <alignment vertical="center"/>
    </xf>
    <xf numFmtId="4" fontId="39" fillId="9" borderId="4" xfId="0" applyNumberFormat="1" applyFont="1" applyFill="1" applyBorder="1" applyAlignment="1" applyProtection="1">
      <alignment vertical="center"/>
    </xf>
    <xf numFmtId="0" fontId="39" fillId="9" borderId="5" xfId="0" applyFont="1" applyFill="1" applyBorder="1" applyAlignment="1" applyProtection="1">
      <alignment horizontal="center" vertical="center" wrapText="1"/>
    </xf>
    <xf numFmtId="0" fontId="54" fillId="9" borderId="0" xfId="0" applyNumberFormat="1" applyFont="1" applyFill="1" applyBorder="1" applyAlignment="1" applyProtection="1">
      <alignment horizontal="left" vertical="center"/>
    </xf>
    <xf numFmtId="185" fontId="39" fillId="9" borderId="10" xfId="0" applyNumberFormat="1" applyFont="1" applyFill="1" applyBorder="1" applyAlignment="1" applyProtection="1">
      <alignment horizontal="center" vertical="center"/>
    </xf>
    <xf numFmtId="184" fontId="39" fillId="9" borderId="3" xfId="0" applyNumberFormat="1" applyFont="1" applyFill="1" applyBorder="1" applyAlignment="1" applyProtection="1">
      <alignment vertical="center"/>
    </xf>
    <xf numFmtId="184" fontId="39" fillId="9" borderId="10" xfId="1" applyNumberFormat="1" applyFont="1" applyFill="1" applyBorder="1" applyAlignment="1" applyProtection="1">
      <alignment vertical="center"/>
    </xf>
    <xf numFmtId="0" fontId="39" fillId="9" borderId="11" xfId="0" applyFont="1" applyFill="1" applyBorder="1" applyAlignment="1" applyProtection="1">
      <alignment horizontal="right" vertical="center"/>
    </xf>
    <xf numFmtId="0" fontId="39" fillId="9" borderId="12" xfId="0" applyFont="1" applyFill="1" applyBorder="1" applyAlignment="1" applyProtection="1">
      <alignment horizontal="left" vertical="center"/>
    </xf>
    <xf numFmtId="0" fontId="39" fillId="9" borderId="13" xfId="0" applyFont="1" applyFill="1" applyBorder="1" applyAlignment="1" applyProtection="1">
      <alignment horizontal="center" vertical="center"/>
    </xf>
    <xf numFmtId="185" fontId="39" fillId="9" borderId="13" xfId="0" applyNumberFormat="1" applyFont="1" applyFill="1" applyBorder="1" applyAlignment="1" applyProtection="1">
      <alignment horizontal="center" vertical="center"/>
    </xf>
    <xf numFmtId="4" fontId="39" fillId="9" borderId="133" xfId="0" applyNumberFormat="1" applyFont="1" applyFill="1" applyBorder="1" applyAlignment="1" applyProtection="1">
      <alignment horizontal="right" vertical="center"/>
    </xf>
    <xf numFmtId="184" fontId="39" fillId="9" borderId="5" xfId="0" applyNumberFormat="1" applyFont="1" applyFill="1" applyBorder="1" applyAlignment="1" applyProtection="1">
      <alignment vertical="center"/>
    </xf>
    <xf numFmtId="0" fontId="39" fillId="9" borderId="44" xfId="0" applyFont="1" applyFill="1" applyBorder="1" applyAlignment="1" applyProtection="1">
      <alignment vertical="center"/>
    </xf>
    <xf numFmtId="185" fontId="39" fillId="9" borderId="4" xfId="0" applyNumberFormat="1" applyFont="1" applyFill="1" applyBorder="1" applyAlignment="1" applyProtection="1">
      <alignment vertical="center"/>
    </xf>
    <xf numFmtId="0" fontId="39" fillId="0" borderId="133" xfId="0" applyFont="1" applyBorder="1" applyAlignment="1" applyProtection="1">
      <alignment vertical="center"/>
    </xf>
    <xf numFmtId="4" fontId="39" fillId="9" borderId="4" xfId="0" applyNumberFormat="1" applyFont="1" applyFill="1" applyBorder="1" applyAlignment="1" applyProtection="1">
      <alignment horizontal="right" vertical="center"/>
    </xf>
    <xf numFmtId="10" fontId="39" fillId="9" borderId="4" xfId="0" applyNumberFormat="1" applyFont="1" applyFill="1" applyBorder="1" applyAlignment="1" applyProtection="1">
      <alignment horizontal="right" vertical="center"/>
    </xf>
    <xf numFmtId="185" fontId="39" fillId="11" borderId="4" xfId="0" applyNumberFormat="1" applyFont="1" applyFill="1" applyBorder="1" applyAlignment="1" applyProtection="1">
      <alignment vertical="center"/>
      <protection locked="0"/>
    </xf>
    <xf numFmtId="184" fontId="39" fillId="9" borderId="4" xfId="0" applyNumberFormat="1" applyFont="1" applyFill="1" applyBorder="1" applyAlignment="1" applyProtection="1">
      <alignment horizontal="left" vertical="center"/>
    </xf>
    <xf numFmtId="184" fontId="39" fillId="9" borderId="4" xfId="0" applyNumberFormat="1" applyFont="1" applyFill="1" applyBorder="1" applyAlignment="1" applyProtection="1">
      <alignment vertical="center"/>
    </xf>
    <xf numFmtId="184" fontId="54" fillId="9" borderId="133" xfId="1" applyNumberFormat="1" applyFont="1" applyFill="1" applyBorder="1" applyAlignment="1" applyProtection="1">
      <alignment vertical="center"/>
    </xf>
    <xf numFmtId="0" fontId="39" fillId="9" borderId="0" xfId="0" applyFont="1" applyFill="1" applyBorder="1" applyAlignment="1" applyProtection="1">
      <alignment horizontal="right" vertical="center"/>
    </xf>
    <xf numFmtId="0" fontId="39" fillId="9" borderId="7" xfId="0" applyFont="1" applyFill="1" applyBorder="1" applyAlignment="1" applyProtection="1">
      <alignment horizontal="right" vertical="center"/>
    </xf>
    <xf numFmtId="4" fontId="39" fillId="9" borderId="62" xfId="0" applyNumberFormat="1" applyFont="1" applyFill="1" applyBorder="1" applyAlignment="1" applyProtection="1">
      <alignment horizontal="center" vertical="center"/>
    </xf>
    <xf numFmtId="0" fontId="39" fillId="9" borderId="9" xfId="0" applyFont="1" applyFill="1" applyBorder="1" applyAlignment="1" applyProtection="1">
      <alignment horizontal="left" vertical="center"/>
    </xf>
    <xf numFmtId="0" fontId="39" fillId="9" borderId="10" xfId="0" applyFont="1" applyFill="1" applyBorder="1" applyAlignment="1" applyProtection="1">
      <alignment vertical="center"/>
    </xf>
    <xf numFmtId="185" fontId="39" fillId="9" borderId="2" xfId="0" applyNumberFormat="1" applyFont="1" applyFill="1" applyBorder="1" applyAlignment="1" applyProtection="1">
      <alignment horizontal="center" vertical="center"/>
    </xf>
    <xf numFmtId="167" fontId="39" fillId="9" borderId="3" xfId="0" applyNumberFormat="1" applyFont="1" applyFill="1" applyBorder="1" applyAlignment="1" applyProtection="1">
      <alignment horizontal="center" vertical="center"/>
    </xf>
    <xf numFmtId="184" fontId="39" fillId="9" borderId="2" xfId="1" applyNumberFormat="1" applyFont="1" applyFill="1" applyBorder="1" applyAlignment="1" applyProtection="1">
      <alignment vertical="center"/>
    </xf>
    <xf numFmtId="0" fontId="39" fillId="9" borderId="9" xfId="0" applyFont="1" applyFill="1" applyBorder="1" applyAlignment="1" applyProtection="1">
      <alignment horizontal="center" vertical="center"/>
    </xf>
    <xf numFmtId="0" fontId="39" fillId="9" borderId="13" xfId="0" applyFont="1" applyFill="1" applyBorder="1" applyAlignment="1" applyProtection="1">
      <alignment vertical="center"/>
    </xf>
    <xf numFmtId="0" fontId="39" fillId="9" borderId="7" xfId="0" applyFont="1" applyFill="1" applyBorder="1" applyAlignment="1" applyProtection="1">
      <alignment vertical="center"/>
    </xf>
    <xf numFmtId="4" fontId="39" fillId="9" borderId="7" xfId="0" applyNumberFormat="1" applyFont="1" applyFill="1" applyBorder="1" applyAlignment="1" applyProtection="1">
      <alignment vertical="center"/>
    </xf>
    <xf numFmtId="165" fontId="39" fillId="9" borderId="0" xfId="1" applyFont="1" applyFill="1" applyBorder="1" applyAlignment="1" applyProtection="1">
      <alignment vertical="center"/>
    </xf>
    <xf numFmtId="4" fontId="39" fillId="11" borderId="142" xfId="0" applyNumberFormat="1" applyFont="1" applyFill="1" applyBorder="1" applyAlignment="1" applyProtection="1">
      <alignment horizontal="center" vertical="center"/>
      <protection locked="0"/>
    </xf>
    <xf numFmtId="187" fontId="39" fillId="9" borderId="67" xfId="0" applyNumberFormat="1" applyFont="1" applyFill="1" applyBorder="1" applyAlignment="1" applyProtection="1">
      <alignment horizontal="center" vertical="center"/>
    </xf>
    <xf numFmtId="1" fontId="39" fillId="9" borderId="67" xfId="0" applyNumberFormat="1" applyFont="1" applyFill="1" applyBorder="1" applyAlignment="1" applyProtection="1">
      <alignment horizontal="center" vertical="center"/>
    </xf>
    <xf numFmtId="187" fontId="39" fillId="9" borderId="33" xfId="0" applyNumberFormat="1" applyFont="1" applyFill="1" applyBorder="1" applyAlignment="1" applyProtection="1">
      <alignment horizontal="center" vertical="center"/>
    </xf>
    <xf numFmtId="4" fontId="39" fillId="9" borderId="33" xfId="0" applyNumberFormat="1" applyFont="1" applyFill="1" applyBorder="1" applyAlignment="1" applyProtection="1">
      <alignment horizontal="center" vertical="center"/>
    </xf>
    <xf numFmtId="2" fontId="39" fillId="9" borderId="62" xfId="0" applyNumberFormat="1" applyFont="1" applyFill="1" applyBorder="1" applyAlignment="1" applyProtection="1">
      <alignment horizontal="center" vertical="center"/>
    </xf>
    <xf numFmtId="185" fontId="39" fillId="9" borderId="62" xfId="0" applyNumberFormat="1" applyFont="1" applyFill="1" applyBorder="1" applyAlignment="1" applyProtection="1">
      <alignment vertical="center"/>
    </xf>
    <xf numFmtId="167" fontId="39" fillId="9" borderId="0" xfId="0" applyNumberFormat="1" applyFont="1" applyFill="1" applyBorder="1" applyAlignment="1" applyProtection="1">
      <alignment horizontal="center" vertical="center"/>
    </xf>
    <xf numFmtId="184" fontId="39" fillId="9" borderId="3" xfId="0" applyNumberFormat="1" applyFont="1" applyFill="1" applyBorder="1" applyAlignment="1" applyProtection="1">
      <alignment horizontal="right" vertical="center"/>
    </xf>
    <xf numFmtId="184" fontId="54" fillId="9" borderId="5" xfId="1" applyNumberFormat="1" applyFont="1" applyFill="1" applyBorder="1" applyAlignment="1" applyProtection="1">
      <alignment vertical="center"/>
    </xf>
    <xf numFmtId="0" fontId="39" fillId="9" borderId="7" xfId="0" applyFont="1" applyFill="1" applyBorder="1" applyAlignment="1" applyProtection="1">
      <alignment horizontal="left" vertical="center"/>
    </xf>
    <xf numFmtId="0" fontId="39" fillId="9" borderId="7" xfId="0" applyFont="1" applyFill="1" applyBorder="1" applyAlignment="1" applyProtection="1">
      <alignment horizontal="center" vertical="center"/>
    </xf>
    <xf numFmtId="167" fontId="39" fillId="9" borderId="7" xfId="0" applyNumberFormat="1" applyFont="1" applyFill="1" applyBorder="1" applyAlignment="1" applyProtection="1">
      <alignment horizontal="center" vertical="center"/>
    </xf>
    <xf numFmtId="4" fontId="39" fillId="9" borderId="7" xfId="0" applyNumberFormat="1" applyFont="1" applyFill="1" applyBorder="1" applyAlignment="1" applyProtection="1">
      <alignment horizontal="right" vertical="center"/>
    </xf>
    <xf numFmtId="165" fontId="39" fillId="9" borderId="7" xfId="1" applyFont="1" applyFill="1" applyBorder="1" applyAlignment="1" applyProtection="1">
      <alignment vertical="center"/>
    </xf>
    <xf numFmtId="10" fontId="54" fillId="9" borderId="0" xfId="0" applyNumberFormat="1" applyFont="1" applyFill="1" applyBorder="1" applyAlignment="1" applyProtection="1">
      <alignment horizontal="center" vertical="center"/>
    </xf>
    <xf numFmtId="165" fontId="54" fillId="9" borderId="5" xfId="1" applyNumberFormat="1" applyFont="1" applyFill="1" applyBorder="1" applyAlignment="1" applyProtection="1">
      <alignment horizontal="right" vertical="center"/>
    </xf>
    <xf numFmtId="0" fontId="39" fillId="9" borderId="0" xfId="0" applyFont="1" applyFill="1" applyAlignment="1" applyProtection="1">
      <alignment vertical="center"/>
    </xf>
    <xf numFmtId="0" fontId="54" fillId="9" borderId="6" xfId="0" applyFont="1" applyFill="1" applyBorder="1" applyAlignment="1" applyProtection="1">
      <alignment vertical="top"/>
    </xf>
    <xf numFmtId="0" fontId="54" fillId="9" borderId="7" xfId="0" applyFont="1" applyFill="1" applyBorder="1" applyAlignment="1" applyProtection="1">
      <alignment vertical="top"/>
    </xf>
    <xf numFmtId="0" fontId="39" fillId="9" borderId="9" xfId="0" applyFont="1" applyFill="1" applyBorder="1" applyAlignment="1" applyProtection="1">
      <alignment vertical="top"/>
    </xf>
    <xf numFmtId="0" fontId="39" fillId="9" borderId="0" xfId="0" applyFont="1" applyFill="1" applyBorder="1" applyAlignment="1" applyProtection="1">
      <alignment vertical="top"/>
    </xf>
    <xf numFmtId="0" fontId="39" fillId="9" borderId="10" xfId="0" applyFont="1" applyFill="1" applyBorder="1" applyAlignment="1" applyProtection="1">
      <alignment vertical="top"/>
    </xf>
    <xf numFmtId="0" fontId="39" fillId="9" borderId="11" xfId="0" applyFont="1" applyFill="1" applyBorder="1" applyAlignment="1" applyProtection="1">
      <alignment vertical="top"/>
    </xf>
    <xf numFmtId="0" fontId="39" fillId="9" borderId="12" xfId="0" applyFont="1" applyFill="1" applyBorder="1" applyAlignment="1" applyProtection="1">
      <alignment vertical="top"/>
    </xf>
    <xf numFmtId="0" fontId="39" fillId="9" borderId="13" xfId="0" applyFont="1" applyFill="1" applyBorder="1" applyAlignment="1" applyProtection="1">
      <alignment vertical="top"/>
    </xf>
    <xf numFmtId="0" fontId="54" fillId="3" borderId="4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49" fontId="54" fillId="9" borderId="0" xfId="0" applyNumberFormat="1" applyFont="1" applyFill="1" applyBorder="1" applyAlignment="1" applyProtection="1">
      <alignment horizontal="left" vertical="center"/>
    </xf>
    <xf numFmtId="2" fontId="39" fillId="0" borderId="0" xfId="0" applyNumberFormat="1" applyFont="1" applyAlignment="1" applyProtection="1">
      <alignment vertical="center"/>
    </xf>
    <xf numFmtId="0" fontId="39" fillId="9" borderId="10" xfId="0" applyFont="1" applyFill="1" applyBorder="1" applyAlignment="1" applyProtection="1">
      <alignment horizontal="center" vertical="center"/>
    </xf>
    <xf numFmtId="0" fontId="39" fillId="0" borderId="133" xfId="0" applyFont="1" applyBorder="1" applyAlignment="1" applyProtection="1">
      <alignment horizontal="left" vertical="center"/>
    </xf>
    <xf numFmtId="165" fontId="39" fillId="0" borderId="0" xfId="0" applyNumberFormat="1" applyFont="1" applyBorder="1" applyAlignment="1" applyProtection="1">
      <alignment vertical="center"/>
    </xf>
    <xf numFmtId="0" fontId="39" fillId="9" borderId="9" xfId="0" applyFont="1" applyFill="1" applyBorder="1" applyAlignment="1" applyProtection="1">
      <alignment horizontal="left"/>
    </xf>
    <xf numFmtId="0" fontId="54" fillId="9" borderId="10" xfId="0" applyFont="1" applyFill="1" applyBorder="1" applyAlignment="1" applyProtection="1">
      <alignment horizontal="right"/>
    </xf>
    <xf numFmtId="0" fontId="54" fillId="3" borderId="4" xfId="0" applyFont="1" applyFill="1" applyBorder="1" applyAlignment="1" applyProtection="1">
      <alignment horizontal="left" vertical="center"/>
    </xf>
    <xf numFmtId="0" fontId="39" fillId="9" borderId="8" xfId="0" applyFont="1" applyFill="1" applyBorder="1" applyAlignment="1" applyProtection="1">
      <alignment horizontal="left" vertical="center"/>
    </xf>
    <xf numFmtId="169" fontId="39" fillId="0" borderId="0" xfId="0" applyNumberFormat="1" applyFont="1" applyAlignment="1" applyProtection="1">
      <alignment vertical="center"/>
    </xf>
    <xf numFmtId="165" fontId="54" fillId="9" borderId="133" xfId="1" applyFont="1" applyFill="1" applyBorder="1" applyAlignment="1" applyProtection="1">
      <alignment vertical="center"/>
    </xf>
    <xf numFmtId="2" fontId="54" fillId="9" borderId="0" xfId="0" applyNumberFormat="1" applyFont="1" applyFill="1" applyBorder="1" applyAlignment="1" applyProtection="1">
      <alignment horizontal="left" vertical="center"/>
    </xf>
    <xf numFmtId="0" fontId="39" fillId="9" borderId="0" xfId="0" applyFont="1" applyFill="1" applyBorder="1" applyAlignment="1" applyProtection="1">
      <alignment horizontal="left" vertical="center" wrapText="1"/>
    </xf>
    <xf numFmtId="0" fontId="39" fillId="9" borderId="0" xfId="0" applyFont="1" applyFill="1" applyBorder="1" applyAlignment="1" applyProtection="1">
      <alignment horizontal="justify" vertical="center" wrapText="1"/>
    </xf>
    <xf numFmtId="187" fontId="39" fillId="9" borderId="35" xfId="0" applyNumberFormat="1" applyFont="1" applyFill="1" applyBorder="1" applyAlignment="1" applyProtection="1">
      <alignment horizontal="center" vertical="center"/>
    </xf>
    <xf numFmtId="4" fontId="39" fillId="9" borderId="35" xfId="0" applyNumberFormat="1" applyFont="1" applyFill="1" applyBorder="1" applyAlignment="1" applyProtection="1">
      <alignment horizontal="center" vertical="center"/>
    </xf>
    <xf numFmtId="184" fontId="39" fillId="9" borderId="3" xfId="1" applyNumberFormat="1" applyFont="1" applyFill="1" applyBorder="1" applyAlignment="1" applyProtection="1">
      <alignment horizontal="right" vertical="center"/>
    </xf>
    <xf numFmtId="184" fontId="39" fillId="9" borderId="0" xfId="1" applyNumberFormat="1" applyFont="1" applyFill="1" applyBorder="1" applyAlignment="1" applyProtection="1">
      <alignment horizontal="right" vertical="center"/>
    </xf>
    <xf numFmtId="184" fontId="39" fillId="9" borderId="62" xfId="1" applyNumberFormat="1" applyFont="1" applyFill="1" applyBorder="1" applyAlignment="1" applyProtection="1">
      <alignment horizontal="right" vertical="center"/>
    </xf>
    <xf numFmtId="184" fontId="39" fillId="9" borderId="5" xfId="1" applyNumberFormat="1" applyFont="1" applyFill="1" applyBorder="1" applyAlignment="1" applyProtection="1">
      <alignment horizontal="right" vertical="center"/>
    </xf>
    <xf numFmtId="184" fontId="39" fillId="9" borderId="10" xfId="1" applyNumberFormat="1" applyFont="1" applyFill="1" applyBorder="1" applyAlignment="1" applyProtection="1">
      <alignment horizontal="right" vertical="center"/>
    </xf>
    <xf numFmtId="184" fontId="39" fillId="9" borderId="5" xfId="0" applyNumberFormat="1" applyFont="1" applyFill="1" applyBorder="1" applyAlignment="1" applyProtection="1">
      <alignment horizontal="right" vertical="center"/>
    </xf>
    <xf numFmtId="184" fontId="39" fillId="9" borderId="4" xfId="0" applyNumberFormat="1" applyFont="1" applyFill="1" applyBorder="1" applyAlignment="1" applyProtection="1">
      <alignment horizontal="right" vertical="center"/>
    </xf>
    <xf numFmtId="184" fontId="54" fillId="9" borderId="133" xfId="1" applyNumberFormat="1" applyFont="1" applyFill="1" applyBorder="1" applyAlignment="1" applyProtection="1">
      <alignment horizontal="right" vertical="center"/>
    </xf>
    <xf numFmtId="184" fontId="39" fillId="9" borderId="2" xfId="1" applyNumberFormat="1" applyFont="1" applyFill="1" applyBorder="1" applyAlignment="1" applyProtection="1">
      <alignment horizontal="right" vertical="center"/>
    </xf>
    <xf numFmtId="184" fontId="54" fillId="9" borderId="5" xfId="1" applyNumberFormat="1" applyFont="1" applyFill="1" applyBorder="1" applyAlignment="1" applyProtection="1">
      <alignment horizontal="right" vertical="center"/>
    </xf>
    <xf numFmtId="184" fontId="39" fillId="9" borderId="3" xfId="1" applyNumberFormat="1" applyFont="1" applyFill="1" applyBorder="1" applyAlignment="1" applyProtection="1">
      <alignment horizontal="center" vertical="center"/>
    </xf>
    <xf numFmtId="184" fontId="39" fillId="9" borderId="0" xfId="1" applyNumberFormat="1" applyFont="1" applyFill="1" applyBorder="1" applyAlignment="1" applyProtection="1">
      <alignment horizontal="center" vertical="center"/>
    </xf>
    <xf numFmtId="184" fontId="39" fillId="9" borderId="62" xfId="1" applyNumberFormat="1" applyFont="1" applyFill="1" applyBorder="1" applyAlignment="1" applyProtection="1">
      <alignment horizontal="center" vertical="center"/>
    </xf>
    <xf numFmtId="184" fontId="39" fillId="9" borderId="3" xfId="0" applyNumberFormat="1" applyFont="1" applyFill="1" applyBorder="1" applyAlignment="1" applyProtection="1">
      <alignment horizontal="center" vertical="center"/>
    </xf>
    <xf numFmtId="0" fontId="39" fillId="9" borderId="12" xfId="0" applyFont="1" applyFill="1" applyBorder="1" applyAlignment="1" applyProtection="1">
      <alignment vertical="top" wrapText="1"/>
    </xf>
    <xf numFmtId="0" fontId="39" fillId="9" borderId="13" xfId="0" applyFont="1" applyFill="1" applyBorder="1" applyAlignment="1" applyProtection="1">
      <alignment vertical="top" wrapText="1"/>
    </xf>
    <xf numFmtId="0" fontId="54" fillId="3" borderId="133" xfId="0" applyFont="1" applyFill="1" applyBorder="1" applyAlignment="1" applyProtection="1">
      <alignment horizontal="left" vertical="center"/>
      <protection locked="0"/>
    </xf>
    <xf numFmtId="0" fontId="54" fillId="9" borderId="6" xfId="0" applyFont="1" applyFill="1" applyBorder="1" applyAlignment="1" applyProtection="1">
      <alignment horizontal="right" vertical="center"/>
    </xf>
    <xf numFmtId="0" fontId="54" fillId="9" borderId="7" xfId="0" applyFont="1" applyFill="1" applyBorder="1" applyAlignment="1" applyProtection="1">
      <alignment horizontal="left" vertical="center"/>
    </xf>
    <xf numFmtId="0" fontId="39" fillId="9" borderId="8" xfId="0" applyFont="1" applyFill="1" applyBorder="1" applyAlignment="1" applyProtection="1">
      <alignment vertical="center"/>
    </xf>
    <xf numFmtId="184" fontId="39" fillId="9" borderId="0" xfId="0" applyNumberFormat="1" applyFont="1" applyFill="1" applyBorder="1" applyAlignment="1" applyProtection="1">
      <alignment horizontal="center" vertical="center"/>
    </xf>
    <xf numFmtId="0" fontId="39" fillId="9" borderId="13" xfId="0" applyFont="1" applyFill="1" applyBorder="1" applyAlignment="1" applyProtection="1">
      <alignment horizontal="left" vertical="center"/>
    </xf>
    <xf numFmtId="184" fontId="39" fillId="9" borderId="2" xfId="0" applyNumberFormat="1" applyFont="1" applyFill="1" applyBorder="1" applyAlignment="1" applyProtection="1">
      <alignment horizontal="center" vertical="center"/>
    </xf>
    <xf numFmtId="0" fontId="54" fillId="9" borderId="11" xfId="0" applyFont="1" applyFill="1" applyBorder="1" applyAlignment="1" applyProtection="1">
      <alignment horizontal="right" vertical="center"/>
    </xf>
    <xf numFmtId="0" fontId="54" fillId="9" borderId="12" xfId="0" applyFont="1" applyFill="1" applyBorder="1" applyAlignment="1" applyProtection="1">
      <alignment horizontal="left" vertical="center"/>
    </xf>
    <xf numFmtId="185" fontId="39" fillId="9" borderId="4" xfId="0" applyNumberFormat="1" applyFont="1" applyFill="1" applyBorder="1" applyAlignment="1" applyProtection="1">
      <alignment horizontal="right" vertical="center"/>
    </xf>
    <xf numFmtId="4" fontId="39" fillId="9" borderId="7" xfId="0" applyNumberFormat="1" applyFont="1" applyFill="1" applyBorder="1" applyAlignment="1" applyProtection="1">
      <alignment horizontal="center" vertical="center"/>
    </xf>
    <xf numFmtId="4" fontId="39" fillId="9" borderId="0" xfId="0" applyNumberFormat="1" applyFont="1" applyFill="1" applyBorder="1" applyAlignment="1" applyProtection="1">
      <alignment horizontal="left" vertical="center"/>
    </xf>
    <xf numFmtId="4" fontId="39" fillId="9" borderId="10" xfId="0" applyNumberFormat="1" applyFont="1" applyFill="1" applyBorder="1" applyAlignment="1" applyProtection="1">
      <alignment vertical="center"/>
    </xf>
    <xf numFmtId="4" fontId="54" fillId="9" borderId="9" xfId="0" applyNumberFormat="1" applyFont="1" applyFill="1" applyBorder="1" applyAlignment="1" applyProtection="1">
      <alignment horizontal="right" vertical="center"/>
    </xf>
    <xf numFmtId="4" fontId="54" fillId="9" borderId="0" xfId="0" applyNumberFormat="1" applyFont="1" applyFill="1" applyBorder="1" applyAlignment="1" applyProtection="1">
      <alignment horizontal="left" vertical="center"/>
    </xf>
    <xf numFmtId="4" fontId="39" fillId="9" borderId="9" xfId="0" applyNumberFormat="1" applyFont="1" applyFill="1" applyBorder="1" applyAlignment="1" applyProtection="1">
      <alignment horizontal="right" vertical="center"/>
    </xf>
    <xf numFmtId="4" fontId="39" fillId="9" borderId="12" xfId="0" applyNumberFormat="1" applyFont="1" applyFill="1" applyBorder="1" applyAlignment="1" applyProtection="1">
      <alignment horizontal="left" vertical="center"/>
    </xf>
    <xf numFmtId="4" fontId="39" fillId="9" borderId="13" xfId="0" applyNumberFormat="1" applyFont="1" applyFill="1" applyBorder="1" applyAlignment="1" applyProtection="1">
      <alignment vertical="center"/>
    </xf>
    <xf numFmtId="185" fontId="39" fillId="9" borderId="67" xfId="0" applyNumberFormat="1" applyFont="1" applyFill="1" applyBorder="1" applyAlignment="1" applyProtection="1">
      <alignment vertical="center"/>
    </xf>
    <xf numFmtId="167" fontId="39" fillId="9" borderId="117" xfId="0" applyNumberFormat="1" applyFont="1" applyFill="1" applyBorder="1" applyAlignment="1" applyProtection="1">
      <alignment horizontal="center" vertical="center"/>
    </xf>
    <xf numFmtId="184" fontId="39" fillId="9" borderId="67" xfId="0" applyNumberFormat="1" applyFont="1" applyFill="1" applyBorder="1" applyAlignment="1" applyProtection="1">
      <alignment horizontal="right" vertical="center"/>
    </xf>
    <xf numFmtId="185" fontId="39" fillId="9" borderId="33" xfId="0" applyNumberFormat="1" applyFont="1" applyFill="1" applyBorder="1" applyAlignment="1" applyProtection="1">
      <alignment vertical="center"/>
    </xf>
    <xf numFmtId="167" fontId="39" fillId="9" borderId="103" xfId="0" applyNumberFormat="1" applyFont="1" applyFill="1" applyBorder="1" applyAlignment="1" applyProtection="1">
      <alignment horizontal="center" vertical="center"/>
    </xf>
    <xf numFmtId="184" fontId="39" fillId="9" borderId="33" xfId="0" applyNumberFormat="1" applyFont="1" applyFill="1" applyBorder="1" applyAlignment="1" applyProtection="1">
      <alignment horizontal="right" vertical="center"/>
    </xf>
    <xf numFmtId="4" fontId="54" fillId="9" borderId="5" xfId="1" applyNumberFormat="1" applyFont="1" applyFill="1" applyBorder="1" applyAlignment="1" applyProtection="1">
      <alignment horizontal="right" vertical="center"/>
    </xf>
    <xf numFmtId="4" fontId="54" fillId="9" borderId="9" xfId="0" applyNumberFormat="1" applyFont="1" applyFill="1" applyBorder="1" applyAlignment="1" applyProtection="1">
      <alignment horizontal="center" vertical="center"/>
    </xf>
    <xf numFmtId="2" fontId="39" fillId="9" borderId="12" xfId="0" applyNumberFormat="1" applyFont="1" applyFill="1" applyBorder="1" applyAlignment="1" applyProtection="1">
      <alignment vertical="top" wrapText="1"/>
    </xf>
    <xf numFmtId="2" fontId="39" fillId="9" borderId="13" xfId="0" applyNumberFormat="1" applyFont="1" applyFill="1" applyBorder="1" applyAlignment="1" applyProtection="1">
      <alignment vertical="top" wrapText="1"/>
    </xf>
    <xf numFmtId="2" fontId="39" fillId="9" borderId="0" xfId="0" applyNumberFormat="1" applyFont="1" applyFill="1" applyBorder="1" applyAlignment="1" applyProtection="1">
      <alignment horizontal="left" vertical="center"/>
    </xf>
    <xf numFmtId="4" fontId="54" fillId="9" borderId="6" xfId="0" applyNumberFormat="1" applyFont="1" applyFill="1" applyBorder="1" applyAlignment="1" applyProtection="1">
      <alignment horizontal="right" vertical="center"/>
    </xf>
    <xf numFmtId="4" fontId="54" fillId="9" borderId="7" xfId="0" applyNumberFormat="1" applyFont="1" applyFill="1" applyBorder="1" applyAlignment="1" applyProtection="1">
      <alignment horizontal="left" vertical="center"/>
    </xf>
    <xf numFmtId="4" fontId="39" fillId="9" borderId="2" xfId="0" applyNumberFormat="1" applyFont="1" applyFill="1" applyBorder="1" applyAlignment="1" applyProtection="1">
      <alignment horizontal="center" vertical="center"/>
    </xf>
    <xf numFmtId="184" fontId="39" fillId="9" borderId="2" xfId="0" applyNumberFormat="1" applyFont="1" applyFill="1" applyBorder="1" applyAlignment="1" applyProtection="1">
      <alignment horizontal="right" vertical="center"/>
    </xf>
    <xf numFmtId="4" fontId="39" fillId="9" borderId="11" xfId="0" applyNumberFormat="1" applyFont="1" applyFill="1" applyBorder="1" applyAlignment="1" applyProtection="1">
      <alignment horizontal="center" vertical="center"/>
    </xf>
    <xf numFmtId="4" fontId="39" fillId="9" borderId="12" xfId="0" applyNumberFormat="1" applyFont="1" applyFill="1" applyBorder="1" applyAlignment="1" applyProtection="1">
      <alignment horizontal="center" vertical="center"/>
    </xf>
    <xf numFmtId="167" fontId="39" fillId="9" borderId="62" xfId="0" applyNumberFormat="1" applyFont="1" applyFill="1" applyBorder="1" applyAlignment="1" applyProtection="1">
      <alignment horizontal="center" vertical="center"/>
    </xf>
    <xf numFmtId="184" fontId="39" fillId="9" borderId="62" xfId="0" applyNumberFormat="1" applyFont="1" applyFill="1" applyBorder="1" applyAlignment="1" applyProtection="1">
      <alignment horizontal="right" vertical="center"/>
    </xf>
    <xf numFmtId="187" fontId="39" fillId="9" borderId="35" xfId="0" applyNumberFormat="1" applyFont="1" applyFill="1" applyBorder="1" applyAlignment="1" applyProtection="1">
      <alignment vertical="center"/>
    </xf>
    <xf numFmtId="165" fontId="39" fillId="9" borderId="3" xfId="1" applyFont="1" applyFill="1" applyBorder="1" applyAlignment="1" applyProtection="1">
      <alignment horizontal="center" vertical="center"/>
    </xf>
    <xf numFmtId="0" fontId="39" fillId="9" borderId="62" xfId="0" applyFont="1" applyFill="1" applyBorder="1" applyAlignment="1" applyProtection="1">
      <alignment vertical="center"/>
    </xf>
    <xf numFmtId="4" fontId="39" fillId="9" borderId="3" xfId="0" applyNumberFormat="1" applyFont="1" applyFill="1" applyBorder="1" applyAlignment="1" applyProtection="1">
      <alignment horizontal="right" vertical="center"/>
    </xf>
    <xf numFmtId="4" fontId="54" fillId="9" borderId="0" xfId="0" applyNumberFormat="1" applyFont="1" applyFill="1" applyBorder="1" applyAlignment="1" applyProtection="1">
      <alignment horizontal="center" vertical="center"/>
    </xf>
    <xf numFmtId="185" fontId="39" fillId="9" borderId="9" xfId="0" applyNumberFormat="1" applyFont="1" applyFill="1" applyBorder="1" applyAlignment="1" applyProtection="1">
      <alignment horizontal="center" vertical="center"/>
    </xf>
    <xf numFmtId="184" fontId="39" fillId="9" borderId="7" xfId="1" applyNumberFormat="1" applyFont="1" applyFill="1" applyBorder="1" applyAlignment="1" applyProtection="1">
      <alignment vertical="center"/>
    </xf>
    <xf numFmtId="0" fontId="54" fillId="3" borderId="4" xfId="0" applyFont="1" applyFill="1" applyBorder="1" applyAlignment="1" applyProtection="1">
      <alignment vertical="center"/>
    </xf>
    <xf numFmtId="0" fontId="54" fillId="3" borderId="4" xfId="0" applyFont="1" applyFill="1" applyBorder="1" applyAlignment="1" applyProtection="1">
      <alignment vertical="center" wrapText="1"/>
    </xf>
    <xf numFmtId="0" fontId="54" fillId="3" borderId="133" xfId="0" applyFont="1" applyFill="1" applyBorder="1" applyAlignment="1" applyProtection="1">
      <alignment vertical="center" wrapText="1"/>
    </xf>
    <xf numFmtId="1" fontId="39" fillId="11" borderId="67" xfId="0" applyNumberFormat="1" applyFont="1" applyFill="1" applyBorder="1" applyAlignment="1" applyProtection="1">
      <alignment horizontal="center" vertical="center"/>
      <protection locked="0"/>
    </xf>
    <xf numFmtId="4" fontId="39" fillId="11" borderId="33" xfId="0" applyNumberFormat="1" applyFont="1" applyFill="1" applyBorder="1" applyAlignment="1" applyProtection="1">
      <alignment horizontal="center" vertical="center"/>
      <protection locked="0"/>
    </xf>
    <xf numFmtId="187" fontId="39" fillId="9" borderId="35" xfId="0" applyNumberFormat="1" applyFont="1" applyFill="1" applyBorder="1" applyAlignment="1" applyProtection="1">
      <alignment horizontal="right" vertical="center"/>
    </xf>
    <xf numFmtId="184" fontId="39" fillId="9" borderId="62" xfId="0" applyNumberFormat="1" applyFont="1" applyFill="1" applyBorder="1" applyAlignment="1" applyProtection="1">
      <alignment horizontal="center" vertical="center"/>
    </xf>
    <xf numFmtId="184" fontId="39" fillId="9" borderId="0" xfId="0" applyNumberFormat="1" applyFont="1" applyFill="1" applyBorder="1" applyAlignment="1" applyProtection="1">
      <alignment vertical="center"/>
    </xf>
    <xf numFmtId="185" fontId="39" fillId="9" borderId="3" xfId="0" applyNumberFormat="1" applyFont="1" applyFill="1" applyBorder="1" applyAlignment="1" applyProtection="1">
      <alignment horizontal="right" vertical="center"/>
    </xf>
    <xf numFmtId="0" fontId="74" fillId="0" borderId="0" xfId="22"/>
    <xf numFmtId="0" fontId="74" fillId="9" borderId="0" xfId="22" applyFill="1"/>
    <xf numFmtId="0" fontId="17" fillId="9" borderId="0" xfId="22" applyFont="1" applyFill="1" applyAlignment="1" applyProtection="1">
      <alignment horizontal="left" vertical="center"/>
    </xf>
    <xf numFmtId="0" fontId="53" fillId="9" borderId="0" xfId="22" applyFont="1" applyFill="1" applyAlignment="1" applyProtection="1">
      <alignment horizontal="center" vertical="center"/>
    </xf>
    <xf numFmtId="0" fontId="29" fillId="9" borderId="0" xfId="22" applyFont="1" applyFill="1" applyAlignment="1" applyProtection="1">
      <alignment horizontal="center" vertical="center"/>
    </xf>
    <xf numFmtId="0" fontId="29" fillId="9" borderId="0" xfId="22" applyFont="1" applyFill="1" applyAlignment="1" applyProtection="1">
      <alignment horizontal="center"/>
    </xf>
    <xf numFmtId="0" fontId="74" fillId="9" borderId="0" xfId="22" applyFill="1" applyAlignment="1" applyProtection="1">
      <alignment vertical="center"/>
    </xf>
    <xf numFmtId="0" fontId="74" fillId="9" borderId="0" xfId="22" applyFill="1" applyProtection="1"/>
    <xf numFmtId="0" fontId="23" fillId="9" borderId="0" xfId="22" applyFont="1" applyFill="1" applyAlignment="1" applyProtection="1">
      <alignment horizontal="right" vertical="center"/>
    </xf>
    <xf numFmtId="0" fontId="23" fillId="9" borderId="0" xfId="22" applyFont="1" applyFill="1" applyAlignment="1" applyProtection="1">
      <alignment horizontal="left" vertical="center"/>
    </xf>
    <xf numFmtId="0" fontId="23" fillId="9" borderId="18" xfId="22" applyFont="1" applyFill="1" applyBorder="1" applyAlignment="1" applyProtection="1">
      <alignment horizontal="center" vertical="center"/>
    </xf>
    <xf numFmtId="0" fontId="23" fillId="9" borderId="60" xfId="22" applyFont="1" applyFill="1" applyBorder="1" applyAlignment="1" applyProtection="1">
      <alignment horizontal="center" vertical="center"/>
    </xf>
    <xf numFmtId="0" fontId="23" fillId="9" borderId="17" xfId="22" applyFont="1" applyFill="1" applyBorder="1" applyAlignment="1" applyProtection="1">
      <alignment horizontal="center" vertical="center"/>
    </xf>
    <xf numFmtId="0" fontId="23" fillId="9" borderId="76" xfId="22" applyFont="1" applyFill="1" applyBorder="1" applyAlignment="1" applyProtection="1">
      <alignment horizontal="center" vertical="center"/>
    </xf>
    <xf numFmtId="189" fontId="23" fillId="11" borderId="166" xfId="22" applyNumberFormat="1" applyFont="1" applyFill="1" applyBorder="1" applyAlignment="1" applyProtection="1">
      <alignment horizontal="center" vertical="center"/>
      <protection locked="0"/>
    </xf>
    <xf numFmtId="4" fontId="23" fillId="11" borderId="77" xfId="22" applyNumberFormat="1" applyFont="1" applyFill="1" applyBorder="1" applyAlignment="1" applyProtection="1">
      <alignment vertical="center"/>
      <protection locked="0"/>
    </xf>
    <xf numFmtId="0" fontId="11" fillId="9" borderId="0" xfId="22" applyFont="1" applyFill="1" applyAlignment="1" applyProtection="1">
      <alignment horizontal="left" vertical="center"/>
    </xf>
    <xf numFmtId="0" fontId="23" fillId="9" borderId="74" xfId="22" applyFont="1" applyFill="1" applyBorder="1" applyAlignment="1" applyProtection="1">
      <alignment horizontal="center" vertical="center"/>
    </xf>
    <xf numFmtId="189" fontId="23" fillId="11" borderId="33" xfId="22" applyNumberFormat="1" applyFont="1" applyFill="1" applyBorder="1" applyAlignment="1" applyProtection="1">
      <alignment horizontal="center" vertical="center"/>
      <protection locked="0"/>
    </xf>
    <xf numFmtId="4" fontId="23" fillId="11" borderId="37" xfId="22" applyNumberFormat="1" applyFont="1" applyFill="1" applyBorder="1" applyAlignment="1" applyProtection="1">
      <alignment vertical="center"/>
      <protection locked="0"/>
    </xf>
    <xf numFmtId="0" fontId="23" fillId="9" borderId="82" xfId="22" applyFont="1" applyFill="1" applyBorder="1" applyAlignment="1" applyProtection="1">
      <alignment horizontal="center" vertical="center"/>
    </xf>
    <xf numFmtId="189" fontId="23" fillId="11" borderId="75" xfId="22" applyNumberFormat="1" applyFont="1" applyFill="1" applyBorder="1" applyAlignment="1" applyProtection="1">
      <alignment horizontal="center" vertical="center"/>
      <protection locked="0"/>
    </xf>
    <xf numFmtId="4" fontId="23" fillId="11" borderId="83" xfId="22" applyNumberFormat="1" applyFont="1" applyFill="1" applyBorder="1" applyAlignment="1" applyProtection="1">
      <alignment vertical="center"/>
      <protection locked="0"/>
    </xf>
    <xf numFmtId="0" fontId="23" fillId="9" borderId="50" xfId="22" applyFont="1" applyFill="1" applyBorder="1" applyAlignment="1" applyProtection="1">
      <alignment horizontal="center" vertical="center"/>
    </xf>
    <xf numFmtId="0" fontId="23" fillId="9" borderId="54" xfId="22" applyFont="1" applyFill="1" applyBorder="1" applyAlignment="1" applyProtection="1">
      <alignment horizontal="center" vertical="center"/>
    </xf>
    <xf numFmtId="0" fontId="0" fillId="9" borderId="167" xfId="22" applyFont="1" applyFill="1" applyBorder="1" applyAlignment="1" applyProtection="1">
      <alignment horizontal="left" vertical="center"/>
    </xf>
    <xf numFmtId="0" fontId="0" fillId="9" borderId="168" xfId="22" applyFont="1" applyFill="1" applyBorder="1" applyAlignment="1" applyProtection="1">
      <alignment horizontal="left" vertical="center"/>
    </xf>
    <xf numFmtId="4" fontId="74" fillId="9" borderId="166" xfId="22" applyNumberFormat="1" applyFill="1" applyBorder="1" applyAlignment="1" applyProtection="1">
      <alignment horizontal="right" vertical="center"/>
    </xf>
    <xf numFmtId="185" fontId="74" fillId="9" borderId="77" xfId="22" applyNumberFormat="1" applyFill="1" applyBorder="1" applyAlignment="1" applyProtection="1">
      <alignment horizontal="right" vertical="center"/>
    </xf>
    <xf numFmtId="4" fontId="23" fillId="11" borderId="75" xfId="22" applyNumberFormat="1" applyFont="1" applyFill="1" applyBorder="1" applyAlignment="1" applyProtection="1">
      <alignment horizontal="right" vertical="center"/>
      <protection locked="0"/>
    </xf>
    <xf numFmtId="4" fontId="74" fillId="9" borderId="75" xfId="22" applyNumberFormat="1" applyFill="1" applyBorder="1" applyAlignment="1" applyProtection="1">
      <alignment horizontal="right" vertical="center"/>
    </xf>
    <xf numFmtId="185" fontId="74" fillId="9" borderId="83" xfId="22" applyNumberFormat="1" applyFill="1" applyBorder="1" applyAlignment="1" applyProtection="1">
      <alignment horizontal="right" vertical="center"/>
    </xf>
    <xf numFmtId="0" fontId="74" fillId="9" borderId="0" xfId="22" applyFill="1" applyAlignment="1" applyProtection="1">
      <alignment horizontal="center" vertical="center"/>
    </xf>
    <xf numFmtId="4" fontId="74" fillId="9" borderId="0" xfId="22" applyNumberFormat="1" applyFill="1" applyAlignment="1" applyProtection="1">
      <alignment horizontal="center" vertical="center"/>
    </xf>
    <xf numFmtId="4" fontId="23" fillId="9" borderId="18" xfId="22" applyNumberFormat="1" applyFont="1" applyFill="1" applyBorder="1" applyAlignment="1" applyProtection="1">
      <alignment horizontal="center" vertical="center"/>
    </xf>
    <xf numFmtId="185" fontId="23" fillId="9" borderId="17" xfId="22" applyNumberFormat="1" applyFont="1" applyFill="1" applyBorder="1" applyAlignment="1" applyProtection="1">
      <alignment horizontal="right" vertical="center"/>
    </xf>
    <xf numFmtId="4" fontId="23" fillId="11" borderId="33" xfId="22" applyNumberFormat="1" applyFont="1" applyFill="1" applyBorder="1" applyAlignment="1" applyProtection="1">
      <alignment horizontal="right" vertical="center"/>
      <protection locked="0"/>
    </xf>
    <xf numFmtId="4" fontId="74" fillId="9" borderId="33" xfId="22" applyNumberFormat="1" applyFill="1" applyBorder="1" applyAlignment="1" applyProtection="1">
      <alignment horizontal="right" vertical="center"/>
    </xf>
    <xf numFmtId="185" fontId="74" fillId="9" borderId="37" xfId="22" applyNumberFormat="1" applyFill="1" applyBorder="1" applyAlignment="1" applyProtection="1">
      <alignment horizontal="right" vertical="center"/>
    </xf>
    <xf numFmtId="4" fontId="23" fillId="9" borderId="169" xfId="22" applyNumberFormat="1" applyFont="1" applyFill="1" applyBorder="1" applyAlignment="1" applyProtection="1">
      <alignment horizontal="center" vertical="center"/>
    </xf>
    <xf numFmtId="185" fontId="23" fillId="9" borderId="170" xfId="22" applyNumberFormat="1" applyFont="1" applyFill="1" applyBorder="1" applyAlignment="1" applyProtection="1">
      <alignment horizontal="right" vertical="center"/>
    </xf>
    <xf numFmtId="4" fontId="23" fillId="9" borderId="166" xfId="22" applyNumberFormat="1" applyFont="1" applyFill="1" applyBorder="1" applyAlignment="1" applyProtection="1">
      <alignment horizontal="center" vertical="center"/>
    </xf>
    <xf numFmtId="4" fontId="23" fillId="9" borderId="77" xfId="22" applyNumberFormat="1" applyFont="1" applyFill="1" applyBorder="1" applyAlignment="1" applyProtection="1">
      <alignment horizontal="center" vertical="center"/>
    </xf>
    <xf numFmtId="0" fontId="23" fillId="9" borderId="171" xfId="22" applyFont="1" applyFill="1" applyBorder="1" applyAlignment="1" applyProtection="1">
      <alignment horizontal="right" vertical="center"/>
    </xf>
    <xf numFmtId="167" fontId="23" fillId="9" borderId="172" xfId="22" applyNumberFormat="1" applyFont="1" applyFill="1" applyBorder="1" applyAlignment="1" applyProtection="1">
      <alignment horizontal="right" vertical="center"/>
    </xf>
    <xf numFmtId="4" fontId="23" fillId="9" borderId="173" xfId="22" applyNumberFormat="1" applyFont="1" applyFill="1" applyBorder="1" applyAlignment="1" applyProtection="1">
      <alignment horizontal="left" vertical="center"/>
    </xf>
    <xf numFmtId="4" fontId="23" fillId="9" borderId="75" xfId="22" applyNumberFormat="1" applyFont="1" applyFill="1" applyBorder="1" applyAlignment="1" applyProtection="1">
      <alignment horizontal="center" vertical="center"/>
    </xf>
    <xf numFmtId="185" fontId="23" fillId="9" borderId="83" xfId="22" applyNumberFormat="1" applyFont="1" applyFill="1" applyBorder="1" applyAlignment="1" applyProtection="1">
      <alignment horizontal="center" vertical="center"/>
    </xf>
    <xf numFmtId="184" fontId="0" fillId="9" borderId="166" xfId="22" applyNumberFormat="1" applyFont="1" applyFill="1" applyBorder="1" applyAlignment="1" applyProtection="1">
      <alignment horizontal="right" vertical="center"/>
    </xf>
    <xf numFmtId="2" fontId="0" fillId="9" borderId="166" xfId="22" applyNumberFormat="1" applyFont="1" applyFill="1" applyBorder="1" applyAlignment="1" applyProtection="1">
      <alignment horizontal="right" vertical="center"/>
    </xf>
    <xf numFmtId="184" fontId="23" fillId="9" borderId="174" xfId="22" applyNumberFormat="1" applyFont="1" applyFill="1" applyBorder="1" applyAlignment="1" applyProtection="1">
      <alignment horizontal="right" vertical="center"/>
    </xf>
    <xf numFmtId="0" fontId="23" fillId="9" borderId="175" xfId="22" applyFont="1" applyFill="1" applyBorder="1" applyAlignment="1" applyProtection="1">
      <alignment horizontal="left" vertical="center"/>
    </xf>
    <xf numFmtId="184" fontId="0" fillId="9" borderId="33" xfId="22" applyNumberFormat="1" applyFont="1" applyFill="1" applyBorder="1" applyAlignment="1" applyProtection="1">
      <alignment horizontal="right" vertical="center"/>
    </xf>
    <xf numFmtId="4" fontId="0" fillId="9" borderId="33" xfId="22" applyNumberFormat="1" applyFont="1" applyFill="1" applyBorder="1" applyAlignment="1" applyProtection="1">
      <alignment horizontal="right" vertical="center"/>
    </xf>
    <xf numFmtId="184" fontId="23" fillId="9" borderId="34" xfId="22" applyNumberFormat="1" applyFont="1" applyFill="1" applyBorder="1" applyAlignment="1" applyProtection="1">
      <alignment horizontal="right" vertical="center"/>
    </xf>
    <xf numFmtId="0" fontId="23" fillId="9" borderId="176" xfId="22" applyFont="1" applyFill="1" applyBorder="1" applyAlignment="1" applyProtection="1">
      <alignment horizontal="left" vertical="center"/>
    </xf>
    <xf numFmtId="4" fontId="23" fillId="9" borderId="176" xfId="22" applyNumberFormat="1" applyFont="1" applyFill="1" applyBorder="1" applyAlignment="1" applyProtection="1">
      <alignment horizontal="left" vertical="center"/>
    </xf>
    <xf numFmtId="0" fontId="0" fillId="9" borderId="0" xfId="22" applyFont="1" applyFill="1" applyAlignment="1" applyProtection="1">
      <alignment horizontal="center" vertical="center"/>
    </xf>
    <xf numFmtId="4" fontId="0" fillId="9" borderId="0" xfId="22" applyNumberFormat="1" applyFont="1" applyFill="1" applyAlignment="1" applyProtection="1">
      <alignment horizontal="center" vertical="center"/>
    </xf>
    <xf numFmtId="4" fontId="29" fillId="9" borderId="0" xfId="22" applyNumberFormat="1" applyFont="1" applyFill="1" applyAlignment="1" applyProtection="1">
      <alignment horizontal="center" vertical="center"/>
    </xf>
    <xf numFmtId="0" fontId="23" fillId="9" borderId="50" xfId="22" applyFont="1" applyFill="1" applyBorder="1" applyAlignment="1" applyProtection="1">
      <alignment horizontal="center" vertical="center" wrapText="1"/>
    </xf>
    <xf numFmtId="0" fontId="23" fillId="9" borderId="60" xfId="22" applyFont="1" applyFill="1" applyBorder="1" applyAlignment="1" applyProtection="1">
      <alignment horizontal="center" vertical="center" wrapText="1"/>
    </xf>
    <xf numFmtId="0" fontId="23" fillId="9" borderId="17" xfId="22" applyFont="1" applyFill="1" applyBorder="1" applyAlignment="1" applyProtection="1">
      <alignment horizontal="center" vertical="center" wrapText="1"/>
    </xf>
    <xf numFmtId="2" fontId="0" fillId="9" borderId="167" xfId="22" applyNumberFormat="1" applyFont="1" applyFill="1" applyBorder="1" applyAlignment="1" applyProtection="1">
      <alignment horizontal="center" vertical="center" wrapText="1"/>
    </xf>
    <xf numFmtId="4" fontId="0" fillId="9" borderId="166" xfId="22" applyNumberFormat="1" applyFont="1" applyFill="1" applyBorder="1" applyAlignment="1" applyProtection="1">
      <alignment horizontal="right" vertical="center"/>
    </xf>
    <xf numFmtId="4" fontId="0" fillId="11" borderId="166" xfId="22" applyNumberFormat="1" applyFont="1" applyFill="1" applyBorder="1" applyAlignment="1" applyProtection="1">
      <alignment horizontal="right" vertical="center"/>
      <protection locked="0"/>
    </xf>
    <xf numFmtId="4" fontId="74" fillId="11" borderId="166" xfId="22" applyNumberFormat="1" applyFill="1" applyBorder="1" applyAlignment="1" applyProtection="1">
      <alignment horizontal="right" vertical="center"/>
      <protection locked="0"/>
    </xf>
    <xf numFmtId="2" fontId="0" fillId="9" borderId="139" xfId="22" applyNumberFormat="1" applyFont="1" applyFill="1" applyBorder="1" applyAlignment="1" applyProtection="1">
      <alignment horizontal="center" vertical="center" wrapText="1"/>
    </xf>
    <xf numFmtId="4" fontId="74" fillId="11" borderId="33" xfId="22" applyNumberFormat="1" applyFill="1" applyBorder="1" applyAlignment="1" applyProtection="1">
      <alignment horizontal="right" vertical="center"/>
      <protection locked="0"/>
    </xf>
    <xf numFmtId="4" fontId="74" fillId="9" borderId="0" xfId="22" applyNumberFormat="1" applyFill="1" applyBorder="1" applyAlignment="1" applyProtection="1">
      <alignment horizontal="right" vertical="center"/>
    </xf>
    <xf numFmtId="4" fontId="74" fillId="9" borderId="27" xfId="22" applyNumberFormat="1" applyFill="1" applyBorder="1" applyAlignment="1" applyProtection="1">
      <alignment horizontal="right" vertical="center"/>
    </xf>
    <xf numFmtId="185" fontId="74" fillId="9" borderId="27" xfId="22" applyNumberFormat="1" applyFill="1" applyBorder="1" applyAlignment="1" applyProtection="1">
      <alignment horizontal="right" vertical="center"/>
    </xf>
    <xf numFmtId="0" fontId="23" fillId="9" borderId="16" xfId="22" applyFont="1" applyFill="1" applyBorder="1" applyAlignment="1" applyProtection="1">
      <alignment horizontal="center" vertical="center"/>
    </xf>
    <xf numFmtId="0" fontId="23" fillId="9" borderId="177" xfId="22" applyFont="1" applyFill="1" applyBorder="1" applyAlignment="1" applyProtection="1">
      <alignment horizontal="center" vertical="center"/>
    </xf>
    <xf numFmtId="0" fontId="23" fillId="9" borderId="63" xfId="22" applyFont="1" applyFill="1" applyBorder="1" applyAlignment="1" applyProtection="1">
      <alignment horizontal="center" vertical="center"/>
    </xf>
    <xf numFmtId="0" fontId="23" fillId="9" borderId="129" xfId="22" applyFont="1" applyFill="1" applyBorder="1" applyAlignment="1" applyProtection="1">
      <alignment horizontal="center" vertical="center"/>
    </xf>
    <xf numFmtId="0" fontId="23" fillId="9" borderId="170" xfId="22" applyFont="1" applyFill="1" applyBorder="1" applyAlignment="1" applyProtection="1">
      <alignment horizontal="center" vertical="center"/>
    </xf>
    <xf numFmtId="2" fontId="0" fillId="9" borderId="20" xfId="22" applyNumberFormat="1" applyFont="1" applyFill="1" applyBorder="1" applyAlignment="1" applyProtection="1">
      <alignment horizontal="justify" vertical="center" wrapText="1"/>
    </xf>
    <xf numFmtId="4" fontId="74" fillId="9" borderId="59" xfId="22" applyNumberFormat="1" applyFill="1" applyBorder="1" applyAlignment="1" applyProtection="1">
      <alignment horizontal="right" vertical="center"/>
    </xf>
    <xf numFmtId="4" fontId="74" fillId="11" borderId="59" xfId="22" applyNumberFormat="1" applyFill="1" applyBorder="1" applyAlignment="1" applyProtection="1">
      <alignment horizontal="right" vertical="center"/>
      <protection locked="0"/>
    </xf>
    <xf numFmtId="185" fontId="74" fillId="9" borderId="61" xfId="22" applyNumberFormat="1" applyFill="1" applyBorder="1" applyAlignment="1" applyProtection="1">
      <alignment horizontal="right" vertical="center"/>
    </xf>
    <xf numFmtId="2" fontId="0" fillId="9" borderId="49" xfId="22" applyNumberFormat="1" applyFont="1" applyFill="1" applyBorder="1" applyAlignment="1" applyProtection="1">
      <alignment horizontal="justify" vertical="center" wrapText="1"/>
    </xf>
    <xf numFmtId="4" fontId="74" fillId="9" borderId="63" xfId="22" applyNumberFormat="1" applyFill="1" applyBorder="1" applyAlignment="1" applyProtection="1">
      <alignment horizontal="right" vertical="center"/>
    </xf>
    <xf numFmtId="4" fontId="74" fillId="11" borderId="63" xfId="22" applyNumberFormat="1" applyFill="1" applyBorder="1" applyAlignment="1" applyProtection="1">
      <alignment horizontal="right" vertical="center"/>
      <protection locked="0"/>
    </xf>
    <xf numFmtId="185" fontId="74" fillId="9" borderId="64" xfId="22" applyNumberFormat="1" applyFill="1" applyBorder="1" applyAlignment="1" applyProtection="1">
      <alignment horizontal="right" vertical="center"/>
    </xf>
    <xf numFmtId="185" fontId="23" fillId="9" borderId="55" xfId="22" applyNumberFormat="1" applyFont="1" applyFill="1" applyBorder="1" applyAlignment="1" applyProtection="1">
      <alignment horizontal="right" vertical="center"/>
    </xf>
    <xf numFmtId="4" fontId="23" fillId="9" borderId="28" xfId="22" applyNumberFormat="1" applyFont="1" applyFill="1" applyBorder="1" applyAlignment="1" applyProtection="1">
      <alignment horizontal="left" vertical="center"/>
    </xf>
    <xf numFmtId="0" fontId="23" fillId="9" borderId="0" xfId="22" applyFont="1" applyFill="1" applyAlignment="1" applyProtection="1">
      <alignment horizontal="center" vertical="center"/>
    </xf>
    <xf numFmtId="4" fontId="23" fillId="9" borderId="0" xfId="22" applyNumberFormat="1" applyFont="1" applyFill="1" applyAlignment="1" applyProtection="1">
      <alignment horizontal="center" vertical="center"/>
    </xf>
    <xf numFmtId="190" fontId="23" fillId="9" borderId="0" xfId="22" applyNumberFormat="1" applyFont="1" applyFill="1" applyAlignment="1" applyProtection="1">
      <alignment horizontal="center" vertical="center"/>
    </xf>
    <xf numFmtId="4" fontId="23" fillId="9" borderId="0" xfId="22" applyNumberFormat="1" applyFont="1" applyFill="1" applyAlignment="1" applyProtection="1">
      <alignment horizontal="right" vertical="center"/>
    </xf>
    <xf numFmtId="4" fontId="23" fillId="11" borderId="0" xfId="22" applyNumberFormat="1" applyFont="1" applyFill="1" applyAlignment="1" applyProtection="1">
      <alignment horizontal="left" vertical="center"/>
      <protection locked="0"/>
    </xf>
    <xf numFmtId="0" fontId="74" fillId="9" borderId="178" xfId="22" applyFill="1" applyBorder="1" applyAlignment="1" applyProtection="1">
      <alignment horizontal="center" vertical="center"/>
    </xf>
    <xf numFmtId="0" fontId="74" fillId="9" borderId="179" xfId="22" applyFill="1" applyBorder="1" applyProtection="1"/>
    <xf numFmtId="0" fontId="74" fillId="9" borderId="46" xfId="22" applyFill="1" applyBorder="1" applyAlignment="1" applyProtection="1">
      <alignment horizontal="center" vertical="center"/>
    </xf>
    <xf numFmtId="4" fontId="23" fillId="9" borderId="46" xfId="22" applyNumberFormat="1" applyFont="1" applyFill="1" applyBorder="1" applyAlignment="1" applyProtection="1">
      <alignment horizontal="center"/>
    </xf>
    <xf numFmtId="4" fontId="23" fillId="9" borderId="46" xfId="22" applyNumberFormat="1" applyFont="1" applyFill="1" applyBorder="1" applyAlignment="1" applyProtection="1">
      <alignment horizontal="right"/>
    </xf>
    <xf numFmtId="4" fontId="23" fillId="9" borderId="46" xfId="22" applyNumberFormat="1" applyFont="1" applyFill="1" applyBorder="1" applyAlignment="1" applyProtection="1">
      <alignment horizontal="left"/>
    </xf>
    <xf numFmtId="4" fontId="74" fillId="9" borderId="179" xfId="22" applyNumberFormat="1" applyFill="1" applyBorder="1" applyAlignment="1" applyProtection="1">
      <alignment horizontal="center" vertical="center"/>
    </xf>
    <xf numFmtId="4" fontId="23" fillId="9" borderId="46" xfId="22" applyNumberFormat="1" applyFont="1" applyFill="1" applyBorder="1" applyAlignment="1" applyProtection="1">
      <alignment horizontal="right" vertical="center"/>
    </xf>
    <xf numFmtId="190" fontId="23" fillId="11" borderId="46" xfId="22" applyNumberFormat="1" applyFont="1" applyFill="1" applyBorder="1" applyAlignment="1" applyProtection="1">
      <alignment horizontal="left" vertical="center"/>
      <protection locked="0"/>
    </xf>
    <xf numFmtId="4" fontId="23" fillId="9" borderId="46" xfId="22" applyNumberFormat="1" applyFont="1" applyFill="1" applyBorder="1" applyAlignment="1" applyProtection="1">
      <alignment vertical="center"/>
    </xf>
    <xf numFmtId="4" fontId="74" fillId="9" borderId="46" xfId="22" applyNumberFormat="1" applyFill="1" applyBorder="1" applyAlignment="1" applyProtection="1">
      <alignment horizontal="center" vertical="center"/>
    </xf>
    <xf numFmtId="0" fontId="74" fillId="9" borderId="0" xfId="22" applyFill="1" applyBorder="1"/>
    <xf numFmtId="0" fontId="74" fillId="9" borderId="178" xfId="22" applyFill="1" applyBorder="1" applyProtection="1"/>
    <xf numFmtId="4" fontId="74" fillId="9" borderId="0" xfId="22" applyNumberFormat="1" applyFill="1" applyBorder="1" applyAlignment="1" applyProtection="1">
      <alignment horizontal="center" vertical="center"/>
    </xf>
    <xf numFmtId="0" fontId="74" fillId="9" borderId="180" xfId="22" applyFill="1" applyBorder="1" applyProtection="1"/>
    <xf numFmtId="0" fontId="74" fillId="9" borderId="0" xfId="22" applyFill="1" applyBorder="1" applyProtection="1"/>
    <xf numFmtId="0" fontId="39" fillId="9" borderId="0" xfId="22" applyFont="1" applyFill="1" applyAlignment="1">
      <alignment vertical="center"/>
    </xf>
    <xf numFmtId="187" fontId="39" fillId="9" borderId="0" xfId="22" applyNumberFormat="1" applyFont="1" applyFill="1" applyAlignment="1">
      <alignment vertical="center"/>
    </xf>
    <xf numFmtId="0" fontId="39" fillId="9" borderId="0" xfId="22" applyFont="1" applyFill="1" applyAlignment="1">
      <alignment horizontal="right" vertical="center"/>
    </xf>
    <xf numFmtId="0" fontId="39" fillId="9" borderId="0" xfId="22" applyFont="1" applyFill="1" applyAlignment="1">
      <alignment horizontal="left" vertical="center"/>
    </xf>
    <xf numFmtId="0" fontId="0" fillId="9" borderId="0" xfId="22" applyFont="1" applyFill="1" applyAlignment="1">
      <alignment vertical="center"/>
    </xf>
    <xf numFmtId="2" fontId="54" fillId="3" borderId="4" xfId="0" applyNumberFormat="1" applyFont="1" applyFill="1" applyBorder="1" applyAlignment="1" applyProtection="1">
      <alignment horizontal="left" vertical="center"/>
    </xf>
    <xf numFmtId="0" fontId="39" fillId="9" borderId="3" xfId="0" applyFont="1" applyFill="1" applyBorder="1" applyAlignment="1" applyProtection="1">
      <alignment horizontal="center" vertical="center"/>
    </xf>
    <xf numFmtId="167" fontId="39" fillId="9" borderId="2" xfId="0" applyNumberFormat="1" applyFont="1" applyFill="1" applyBorder="1" applyAlignment="1" applyProtection="1">
      <alignment horizontal="center" vertical="center"/>
    </xf>
    <xf numFmtId="1" fontId="39" fillId="9" borderId="33" xfId="0" applyNumberFormat="1" applyFont="1" applyFill="1" applyBorder="1" applyAlignment="1" applyProtection="1">
      <alignment horizontal="center" vertical="center"/>
    </xf>
    <xf numFmtId="188" fontId="39" fillId="9" borderId="4" xfId="0" applyNumberFormat="1" applyFont="1" applyFill="1" applyBorder="1" applyAlignment="1" applyProtection="1">
      <alignment vertical="center"/>
    </xf>
    <xf numFmtId="165" fontId="39" fillId="0" borderId="0" xfId="0" applyNumberFormat="1" applyFont="1" applyAlignment="1" applyProtection="1">
      <alignment vertical="center"/>
    </xf>
    <xf numFmtId="0" fontId="54" fillId="9" borderId="9" xfId="0" applyFont="1" applyFill="1" applyBorder="1" applyAlignment="1" applyProtection="1">
      <alignment horizontal="center" vertical="center"/>
    </xf>
    <xf numFmtId="184" fontId="39" fillId="9" borderId="2" xfId="0" applyNumberFormat="1" applyFont="1" applyFill="1" applyBorder="1" applyAlignment="1" applyProtection="1">
      <alignment vertical="center"/>
    </xf>
    <xf numFmtId="0" fontId="39" fillId="9" borderId="11" xfId="0" applyFont="1" applyFill="1" applyBorder="1" applyAlignment="1" applyProtection="1">
      <alignment horizontal="left" vertical="center"/>
    </xf>
    <xf numFmtId="165" fontId="54" fillId="9" borderId="5" xfId="1" applyFont="1" applyFill="1" applyBorder="1" applyAlignment="1" applyProtection="1">
      <alignment vertical="center"/>
    </xf>
    <xf numFmtId="0" fontId="54" fillId="9" borderId="6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right" vertical="center"/>
    </xf>
    <xf numFmtId="0" fontId="39" fillId="9" borderId="11" xfId="0" applyFont="1" applyFill="1" applyBorder="1" applyAlignment="1" applyProtection="1">
      <alignment vertical="top" wrapText="1"/>
    </xf>
    <xf numFmtId="4" fontId="39" fillId="9" borderId="5" xfId="0" applyNumberFormat="1" applyFont="1" applyFill="1" applyBorder="1" applyAlignment="1" applyProtection="1">
      <alignment horizontal="center" vertical="center"/>
    </xf>
    <xf numFmtId="0" fontId="0" fillId="9" borderId="12" xfId="0" applyFont="1" applyFill="1" applyBorder="1" applyAlignment="1" applyProtection="1">
      <alignment vertical="center"/>
    </xf>
    <xf numFmtId="0" fontId="0" fillId="9" borderId="13" xfId="0" applyFont="1" applyFill="1" applyBorder="1" applyAlignment="1" applyProtection="1">
      <alignment vertical="center"/>
    </xf>
    <xf numFmtId="185" fontId="39" fillId="9" borderId="11" xfId="0" applyNumberFormat="1" applyFont="1" applyFill="1" applyBorder="1" applyAlignment="1" applyProtection="1">
      <alignment horizontal="center" vertical="center"/>
    </xf>
    <xf numFmtId="191" fontId="39" fillId="9" borderId="142" xfId="0" applyNumberFormat="1" applyFont="1" applyFill="1" applyBorder="1" applyAlignment="1" applyProtection="1">
      <alignment horizontal="center" vertical="center"/>
    </xf>
    <xf numFmtId="0" fontId="18" fillId="11" borderId="5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15" fillId="9" borderId="2" xfId="0" applyNumberFormat="1" applyFont="1" applyFill="1" applyBorder="1" applyAlignment="1" applyProtection="1">
      <alignment horizontal="center" vertical="center"/>
    </xf>
    <xf numFmtId="0" fontId="14" fillId="9" borderId="3" xfId="24" applyFont="1" applyFill="1" applyBorder="1" applyAlignment="1" applyProtection="1">
      <alignment horizontal="center" vertical="center"/>
      <protection locked="0"/>
    </xf>
    <xf numFmtId="0" fontId="16" fillId="9" borderId="3" xfId="0" applyNumberFormat="1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 applyProtection="1">
      <alignment horizontal="center" vertical="center"/>
    </xf>
    <xf numFmtId="0" fontId="24" fillId="10" borderId="14" xfId="28" applyNumberFormat="1" applyFont="1" applyFill="1" applyBorder="1" applyAlignment="1" applyProtection="1">
      <alignment horizontal="center" vertical="center"/>
    </xf>
    <xf numFmtId="0" fontId="24" fillId="10" borderId="14" xfId="28" applyFont="1" applyFill="1" applyBorder="1" applyAlignment="1" applyProtection="1">
      <alignment horizontal="center" vertical="center"/>
    </xf>
    <xf numFmtId="0" fontId="24" fillId="10" borderId="14" xfId="28" applyNumberFormat="1" applyFont="1" applyFill="1" applyBorder="1" applyAlignment="1" applyProtection="1">
      <alignment horizontal="center" vertical="center" wrapText="1"/>
    </xf>
    <xf numFmtId="0" fontId="24" fillId="10" borderId="16" xfId="0" applyFont="1" applyFill="1" applyBorder="1" applyAlignment="1" applyProtection="1">
      <alignment horizontal="center" vertical="center" wrapText="1"/>
    </xf>
    <xf numFmtId="0" fontId="19" fillId="11" borderId="14" xfId="0" applyNumberFormat="1" applyFont="1" applyFill="1" applyBorder="1" applyAlignment="1" applyProtection="1">
      <alignment horizontal="center" vertical="center"/>
      <protection locked="0"/>
    </xf>
    <xf numFmtId="0" fontId="26" fillId="11" borderId="25" xfId="0" applyFont="1" applyFill="1" applyBorder="1" applyAlignment="1" applyProtection="1">
      <alignment horizontal="justify" vertical="center"/>
      <protection locked="0"/>
    </xf>
    <xf numFmtId="165" fontId="24" fillId="11" borderId="25" xfId="1" applyFont="1" applyFill="1" applyBorder="1" applyAlignment="1" applyProtection="1">
      <alignment horizontal="center" vertical="center"/>
      <protection locked="0"/>
    </xf>
    <xf numFmtId="167" fontId="22" fillId="11" borderId="5" xfId="0" applyNumberFormat="1" applyFont="1" applyFill="1" applyBorder="1" applyAlignment="1" applyProtection="1">
      <alignment horizontal="center" vertical="center"/>
    </xf>
    <xf numFmtId="0" fontId="24" fillId="10" borderId="17" xfId="0" applyFont="1" applyFill="1" applyBorder="1" applyAlignment="1" applyProtection="1">
      <alignment horizontal="center" vertical="center" wrapText="1"/>
    </xf>
    <xf numFmtId="0" fontId="32" fillId="0" borderId="5" xfId="22" applyFont="1" applyFill="1" applyBorder="1" applyAlignment="1" applyProtection="1">
      <alignment horizontal="center" vertical="center"/>
      <protection locked="0"/>
    </xf>
    <xf numFmtId="0" fontId="32" fillId="0" borderId="63" xfId="22" applyFont="1" applyFill="1" applyBorder="1" applyAlignment="1" applyProtection="1">
      <alignment horizontal="center" vertical="center" wrapText="1"/>
    </xf>
    <xf numFmtId="0" fontId="32" fillId="0" borderId="64" xfId="22" applyFont="1" applyFill="1" applyBorder="1" applyAlignment="1" applyProtection="1">
      <alignment horizontal="center" vertical="center" wrapText="1"/>
    </xf>
    <xf numFmtId="0" fontId="16" fillId="0" borderId="14" xfId="22" applyFont="1" applyFill="1" applyBorder="1" applyAlignment="1" applyProtection="1">
      <alignment horizontal="center" vertical="center"/>
    </xf>
    <xf numFmtId="0" fontId="23" fillId="0" borderId="20" xfId="22" applyFont="1" applyFill="1" applyBorder="1" applyAlignment="1" applyProtection="1">
      <alignment horizontal="center" vertical="center" wrapText="1"/>
    </xf>
    <xf numFmtId="0" fontId="23" fillId="0" borderId="52" xfId="22" applyFont="1" applyFill="1" applyBorder="1" applyAlignment="1" applyProtection="1">
      <alignment vertical="center" wrapText="1"/>
    </xf>
    <xf numFmtId="0" fontId="23" fillId="0" borderId="53" xfId="22" applyFont="1" applyFill="1" applyBorder="1" applyAlignment="1" applyProtection="1">
      <alignment horizontal="center" vertical="center"/>
    </xf>
    <xf numFmtId="0" fontId="23" fillId="0" borderId="52" xfId="22" applyFont="1" applyFill="1" applyBorder="1" applyAlignment="1" applyProtection="1">
      <alignment horizontal="left" vertical="center"/>
    </xf>
    <xf numFmtId="0" fontId="23" fillId="0" borderId="54" xfId="22" applyFont="1" applyFill="1" applyBorder="1" applyAlignment="1" applyProtection="1">
      <alignment horizontal="justify" vertical="center"/>
    </xf>
    <xf numFmtId="0" fontId="23" fillId="0" borderId="55" xfId="22" applyFont="1" applyFill="1" applyBorder="1" applyAlignment="1" applyProtection="1">
      <alignment horizontal="center" vertical="center"/>
    </xf>
    <xf numFmtId="2" fontId="23" fillId="0" borderId="54" xfId="22" applyNumberFormat="1" applyFont="1" applyFill="1" applyBorder="1" applyAlignment="1" applyProtection="1">
      <alignment horizontal="center" vertical="center"/>
    </xf>
    <xf numFmtId="0" fontId="0" fillId="9" borderId="79" xfId="22" applyFont="1" applyFill="1" applyBorder="1" applyAlignment="1" applyProtection="1">
      <alignment horizontal="justify" vertical="center" wrapText="1"/>
    </xf>
    <xf numFmtId="0" fontId="23" fillId="9" borderId="39" xfId="22" applyFont="1" applyFill="1" applyBorder="1" applyAlignment="1" applyProtection="1">
      <alignment horizontal="justify" vertical="center" wrapText="1"/>
    </xf>
    <xf numFmtId="177" fontId="23" fillId="9" borderId="0" xfId="22" applyNumberFormat="1" applyFont="1" applyFill="1" applyBorder="1" applyAlignment="1" applyProtection="1">
      <alignment horizontal="left" vertical="center"/>
    </xf>
    <xf numFmtId="0" fontId="32" fillId="0" borderId="5" xfId="22" applyFont="1" applyFill="1" applyBorder="1" applyAlignment="1" applyProtection="1">
      <alignment horizontal="center" vertical="center"/>
    </xf>
    <xf numFmtId="0" fontId="32" fillId="0" borderId="63" xfId="22" applyFont="1" applyFill="1" applyBorder="1" applyAlignment="1" applyProtection="1">
      <alignment horizontal="center" vertical="center"/>
    </xf>
    <xf numFmtId="0" fontId="0" fillId="9" borderId="78" xfId="22" applyFont="1" applyFill="1" applyBorder="1" applyAlignment="1" applyProtection="1">
      <alignment horizontal="justify" vertical="center" wrapText="1"/>
    </xf>
    <xf numFmtId="0" fontId="32" fillId="0" borderId="18" xfId="22" applyFont="1" applyFill="1" applyBorder="1" applyAlignment="1" applyProtection="1">
      <alignment horizontal="center" vertical="center"/>
    </xf>
    <xf numFmtId="0" fontId="32" fillId="0" borderId="59" xfId="22" applyFont="1" applyFill="1" applyBorder="1" applyAlignment="1" applyProtection="1">
      <alignment horizontal="center" vertical="center" wrapText="1"/>
    </xf>
    <xf numFmtId="0" fontId="32" fillId="0" borderId="60" xfId="22" applyFont="1" applyFill="1" applyBorder="1" applyAlignment="1" applyProtection="1">
      <alignment horizontal="center" vertical="center" wrapText="1"/>
    </xf>
    <xf numFmtId="0" fontId="32" fillId="0" borderId="61" xfId="22" applyFont="1" applyFill="1" applyBorder="1" applyAlignment="1" applyProtection="1">
      <alignment horizontal="center" vertical="center"/>
    </xf>
    <xf numFmtId="0" fontId="32" fillId="0" borderId="62" xfId="22" applyFont="1" applyFill="1" applyBorder="1" applyAlignment="1" applyProtection="1">
      <alignment horizontal="center" vertical="center" wrapText="1"/>
      <protection locked="0"/>
    </xf>
    <xf numFmtId="0" fontId="0" fillId="9" borderId="105" xfId="0" applyFont="1" applyFill="1" applyBorder="1" applyAlignment="1" applyProtection="1">
      <alignment horizontal="justify" vertical="center" wrapText="1"/>
    </xf>
    <xf numFmtId="0" fontId="17" fillId="9" borderId="90" xfId="0" applyFont="1" applyFill="1" applyBorder="1" applyAlignment="1" applyProtection="1">
      <alignment horizontal="center" vertical="center" wrapText="1"/>
    </xf>
    <xf numFmtId="2" fontId="0" fillId="9" borderId="103" xfId="0" applyNumberFormat="1" applyFont="1" applyFill="1" applyBorder="1" applyAlignment="1" applyProtection="1">
      <alignment horizontal="left" vertical="center"/>
    </xf>
    <xf numFmtId="2" fontId="0" fillId="9" borderId="110" xfId="0" applyNumberFormat="1" applyFont="1" applyFill="1" applyBorder="1" applyAlignment="1" applyProtection="1">
      <alignment horizontal="justify" vertical="center"/>
    </xf>
    <xf numFmtId="169" fontId="0" fillId="9" borderId="111" xfId="0" applyNumberFormat="1" applyFont="1" applyFill="1" applyBorder="1" applyAlignment="1" applyProtection="1">
      <alignment horizontal="center" vertical="center" wrapText="1"/>
    </xf>
    <xf numFmtId="4" fontId="0" fillId="9" borderId="102" xfId="1" applyNumberFormat="1" applyFont="1" applyFill="1" applyBorder="1" applyAlignment="1" applyProtection="1">
      <alignment horizontal="right" vertical="center" wrapText="1"/>
    </xf>
    <xf numFmtId="0" fontId="0" fillId="9" borderId="102" xfId="0" applyFont="1" applyFill="1" applyBorder="1" applyAlignment="1" applyProtection="1">
      <alignment horizontal="center" vertical="center"/>
    </xf>
    <xf numFmtId="4" fontId="0" fillId="0" borderId="102" xfId="0" applyNumberFormat="1" applyFont="1" applyFill="1" applyBorder="1" applyAlignment="1" applyProtection="1">
      <alignment horizontal="right" vertical="center"/>
    </xf>
    <xf numFmtId="165" fontId="0" fillId="9" borderId="102" xfId="1" applyFont="1" applyFill="1" applyBorder="1" applyAlignment="1" applyProtection="1">
      <alignment horizontal="right" vertical="center" wrapText="1"/>
    </xf>
    <xf numFmtId="0" fontId="17" fillId="11" borderId="98" xfId="0" applyFont="1" applyFill="1" applyBorder="1" applyAlignment="1" applyProtection="1">
      <alignment horizontal="center" vertical="center"/>
      <protection locked="0"/>
    </xf>
    <xf numFmtId="0" fontId="0" fillId="9" borderId="112" xfId="0" applyFont="1" applyFill="1" applyBorder="1" applyAlignment="1" applyProtection="1">
      <alignment horizontal="justify" vertical="center" wrapText="1"/>
    </xf>
    <xf numFmtId="0" fontId="39" fillId="11" borderId="116" xfId="0" applyFont="1" applyFill="1" applyBorder="1" applyAlignment="1" applyProtection="1">
      <alignment horizontal="center" vertical="center"/>
      <protection locked="0"/>
    </xf>
    <xf numFmtId="0" fontId="0" fillId="9" borderId="104" xfId="0" applyFont="1" applyFill="1" applyBorder="1" applyAlignment="1" applyProtection="1">
      <alignment horizontal="center" vertical="center"/>
    </xf>
    <xf numFmtId="0" fontId="0" fillId="9" borderId="110" xfId="0" applyFont="1" applyFill="1" applyBorder="1" applyAlignment="1" applyProtection="1">
      <alignment horizontal="justify" vertical="center" wrapText="1"/>
    </xf>
    <xf numFmtId="0" fontId="0" fillId="9" borderId="103" xfId="0" applyFont="1" applyFill="1" applyBorder="1" applyAlignment="1" applyProtection="1">
      <alignment horizontal="justify" vertical="center" wrapText="1"/>
    </xf>
    <xf numFmtId="0" fontId="47" fillId="9" borderId="115" xfId="0" applyFont="1" applyFill="1" applyBorder="1" applyAlignment="1" applyProtection="1">
      <alignment horizontal="justify" vertical="center"/>
    </xf>
    <xf numFmtId="165" fontId="0" fillId="9" borderId="102" xfId="1" applyFont="1" applyFill="1" applyBorder="1" applyAlignment="1" applyProtection="1">
      <alignment horizontal="center" vertical="center" wrapText="1"/>
    </xf>
    <xf numFmtId="4" fontId="0" fillId="9" borderId="102" xfId="1" applyNumberFormat="1" applyFont="1" applyFill="1" applyBorder="1" applyAlignment="1" applyProtection="1">
      <alignment horizontal="center" vertical="center" wrapText="1"/>
    </xf>
    <xf numFmtId="0" fontId="0" fillId="9" borderId="123" xfId="0" applyFont="1" applyFill="1" applyBorder="1" applyAlignment="1" applyProtection="1">
      <alignment horizontal="justify" vertical="center"/>
    </xf>
    <xf numFmtId="0" fontId="0" fillId="0" borderId="102" xfId="0" applyFont="1" applyBorder="1" applyAlignment="1" applyProtection="1">
      <alignment horizontal="center" vertical="center"/>
    </xf>
    <xf numFmtId="4" fontId="0" fillId="0" borderId="33" xfId="31" applyNumberFormat="1" applyFont="1" applyFill="1" applyBorder="1" applyAlignment="1" applyProtection="1">
      <alignment horizontal="right" vertical="center" wrapText="1"/>
    </xf>
    <xf numFmtId="4" fontId="0" fillId="0" borderId="102" xfId="1" applyNumberFormat="1" applyFont="1" applyFill="1" applyBorder="1" applyAlignment="1" applyProtection="1">
      <alignment horizontal="right" vertical="center" wrapText="1"/>
    </xf>
    <xf numFmtId="0" fontId="16" fillId="9" borderId="91" xfId="0" applyFont="1" applyFill="1" applyBorder="1" applyAlignment="1" applyProtection="1">
      <alignment horizontal="right" vertical="center"/>
    </xf>
    <xf numFmtId="0" fontId="16" fillId="9" borderId="91" xfId="0" applyFont="1" applyFill="1" applyBorder="1" applyAlignment="1" applyProtection="1">
      <alignment horizontal="left" vertical="center"/>
    </xf>
    <xf numFmtId="0" fontId="16" fillId="9" borderId="0" xfId="0" applyFont="1" applyFill="1" applyBorder="1" applyAlignment="1" applyProtection="1">
      <alignment horizontal="center" vertical="center"/>
    </xf>
    <xf numFmtId="1" fontId="0" fillId="9" borderId="0" xfId="0" applyNumberFormat="1" applyFill="1" applyBorder="1" applyAlignment="1">
      <alignment horizontal="center"/>
    </xf>
    <xf numFmtId="0" fontId="23" fillId="9" borderId="0" xfId="23" applyFont="1" applyFill="1" applyBorder="1" applyAlignment="1" applyProtection="1">
      <alignment horizontal="center"/>
      <protection locked="0"/>
    </xf>
    <xf numFmtId="0" fontId="30" fillId="9" borderId="0" xfId="23" applyFont="1" applyFill="1" applyBorder="1" applyAlignment="1" applyProtection="1">
      <alignment horizontal="center"/>
      <protection locked="0"/>
    </xf>
    <xf numFmtId="0" fontId="23" fillId="9" borderId="126" xfId="29" applyFont="1" applyFill="1" applyBorder="1" applyAlignment="1" applyProtection="1">
      <alignment horizontal="center" vertical="center" wrapText="1"/>
    </xf>
    <xf numFmtId="0" fontId="23" fillId="9" borderId="126" xfId="29" applyFont="1" applyFill="1" applyBorder="1" applyAlignment="1" applyProtection="1">
      <alignment horizontal="justify" vertical="center" wrapText="1"/>
    </xf>
    <xf numFmtId="181" fontId="0" fillId="9" borderId="126" xfId="20" applyNumberFormat="1" applyFont="1" applyFill="1" applyBorder="1" applyAlignment="1" applyProtection="1">
      <alignment horizontal="left" vertical="center"/>
    </xf>
    <xf numFmtId="10" fontId="0" fillId="9" borderId="126" xfId="30" applyNumberFormat="1" applyFont="1" applyFill="1" applyBorder="1" applyAlignment="1" applyProtection="1">
      <alignment horizontal="right" vertical="center"/>
    </xf>
    <xf numFmtId="0" fontId="15" fillId="9" borderId="125" xfId="26" applyFont="1" applyFill="1" applyBorder="1" applyAlignment="1" applyProtection="1">
      <alignment horizontal="center" vertical="center"/>
    </xf>
    <xf numFmtId="0" fontId="16" fillId="9" borderId="125" xfId="23" applyNumberFormat="1" applyFont="1" applyFill="1" applyBorder="1" applyAlignment="1" applyProtection="1">
      <alignment horizontal="center" vertical="center"/>
    </xf>
    <xf numFmtId="0" fontId="23" fillId="9" borderId="126" xfId="23" applyFont="1" applyFill="1" applyBorder="1" applyAlignment="1" applyProtection="1">
      <alignment horizontal="left" vertical="center"/>
    </xf>
    <xf numFmtId="0" fontId="23" fillId="9" borderId="111" xfId="23" applyFont="1" applyFill="1" applyBorder="1" applyAlignment="1" applyProtection="1">
      <alignment horizontal="left" vertical="center"/>
    </xf>
    <xf numFmtId="180" fontId="23" fillId="9" borderId="103" xfId="26" applyNumberFormat="1" applyFont="1" applyFill="1" applyBorder="1" applyAlignment="1" applyProtection="1">
      <alignment horizontal="left" vertical="center"/>
    </xf>
    <xf numFmtId="180" fontId="23" fillId="9" borderId="110" xfId="26" applyNumberFormat="1" applyFont="1" applyFill="1" applyBorder="1" applyAlignment="1" applyProtection="1">
      <alignment horizontal="center" vertical="center"/>
    </xf>
    <xf numFmtId="0" fontId="23" fillId="9" borderId="126" xfId="26" applyFont="1" applyFill="1" applyBorder="1" applyAlignment="1" applyProtection="1">
      <alignment horizontal="center" vertical="center"/>
    </xf>
    <xf numFmtId="0" fontId="23" fillId="9" borderId="126" xfId="26" applyFont="1" applyFill="1" applyBorder="1" applyAlignment="1" applyProtection="1">
      <alignment horizontal="center" vertical="center" wrapText="1"/>
    </xf>
    <xf numFmtId="0" fontId="23" fillId="9" borderId="0" xfId="26" applyFont="1" applyFill="1" applyBorder="1" applyAlignment="1" applyProtection="1">
      <alignment horizontal="center"/>
    </xf>
    <xf numFmtId="165" fontId="53" fillId="9" borderId="126" xfId="31" applyFont="1" applyFill="1" applyBorder="1" applyAlignment="1" applyProtection="1">
      <alignment horizontal="center" vertical="center"/>
    </xf>
    <xf numFmtId="10" fontId="23" fillId="9" borderId="126" xfId="30" applyNumberFormat="1" applyFont="1" applyFill="1" applyBorder="1" applyAlignment="1" applyProtection="1">
      <alignment horizontal="center" vertical="center"/>
    </xf>
    <xf numFmtId="10" fontId="23" fillId="9" borderId="126" xfId="31" applyNumberFormat="1" applyFont="1" applyFill="1" applyBorder="1" applyAlignment="1" applyProtection="1">
      <alignment horizontal="center" vertical="center"/>
    </xf>
    <xf numFmtId="0" fontId="0" fillId="9" borderId="130" xfId="0" applyFont="1" applyFill="1" applyBorder="1" applyAlignment="1" applyProtection="1">
      <alignment horizontal="center" vertical="center" wrapText="1"/>
    </xf>
    <xf numFmtId="0" fontId="38" fillId="9" borderId="28" xfId="0" applyFont="1" applyFill="1" applyBorder="1" applyAlignment="1" applyProtection="1">
      <alignment horizontal="center" vertical="center" wrapText="1"/>
    </xf>
    <xf numFmtId="0" fontId="0" fillId="9" borderId="18" xfId="0" applyFont="1" applyFill="1" applyBorder="1" applyAlignment="1" applyProtection="1">
      <alignment horizontal="center" vertical="center"/>
    </xf>
    <xf numFmtId="0" fontId="23" fillId="9" borderId="55" xfId="0" applyFont="1" applyFill="1" applyBorder="1" applyAlignment="1" applyProtection="1">
      <alignment horizontal="center" vertical="center"/>
    </xf>
    <xf numFmtId="0" fontId="0" fillId="9" borderId="60" xfId="0" applyFont="1" applyFill="1" applyBorder="1" applyAlignment="1" applyProtection="1">
      <alignment horizontal="center" vertical="center" wrapText="1"/>
    </xf>
    <xf numFmtId="0" fontId="0" fillId="9" borderId="62" xfId="0" applyFont="1" applyFill="1" applyBorder="1" applyAlignment="1" applyProtection="1">
      <alignment horizontal="center" vertical="center" wrapText="1"/>
    </xf>
    <xf numFmtId="0" fontId="0" fillId="9" borderId="129" xfId="0" applyFont="1" applyFill="1" applyBorder="1" applyAlignment="1" applyProtection="1">
      <alignment horizontal="center" vertical="center" wrapText="1"/>
    </xf>
    <xf numFmtId="0" fontId="0" fillId="9" borderId="53" xfId="0" applyFont="1" applyFill="1" applyBorder="1" applyAlignment="1" applyProtection="1">
      <alignment horizontal="center" vertical="center" wrapText="1"/>
    </xf>
    <xf numFmtId="0" fontId="54" fillId="9" borderId="24" xfId="0" applyFont="1" applyFill="1" applyBorder="1" applyAlignment="1" applyProtection="1">
      <alignment horizontal="right" vertical="center"/>
    </xf>
    <xf numFmtId="0" fontId="54" fillId="9" borderId="39" xfId="0" applyFont="1" applyFill="1" applyBorder="1" applyAlignment="1" applyProtection="1">
      <alignment horizontal="right" vertical="center"/>
    </xf>
    <xf numFmtId="0" fontId="47" fillId="9" borderId="0" xfId="0" applyFont="1" applyFill="1" applyBorder="1" applyAlignment="1" applyProtection="1">
      <alignment horizontal="justify" vertical="center"/>
    </xf>
    <xf numFmtId="0" fontId="0" fillId="9" borderId="17" xfId="0" applyFont="1" applyFill="1" applyBorder="1" applyAlignment="1" applyProtection="1">
      <alignment horizontal="center" vertical="center" wrapText="1"/>
    </xf>
    <xf numFmtId="0" fontId="0" fillId="9" borderId="135" xfId="0" applyFont="1" applyFill="1" applyBorder="1" applyAlignment="1" applyProtection="1">
      <alignment horizontal="center" vertical="center"/>
    </xf>
    <xf numFmtId="0" fontId="0" fillId="9" borderId="63" xfId="0" applyFont="1" applyFill="1" applyBorder="1" applyAlignment="1" applyProtection="1">
      <alignment horizontal="center" vertical="center"/>
    </xf>
    <xf numFmtId="0" fontId="0" fillId="9" borderId="44" xfId="0" applyFont="1" applyFill="1" applyBorder="1" applyAlignment="1" applyProtection="1">
      <alignment horizontal="justify" vertical="center" wrapText="1"/>
    </xf>
    <xf numFmtId="0" fontId="23" fillId="9" borderId="133" xfId="0" applyFont="1" applyFill="1" applyBorder="1" applyAlignment="1" applyProtection="1">
      <alignment horizontal="center" vertical="center" wrapText="1"/>
    </xf>
    <xf numFmtId="185" fontId="0" fillId="9" borderId="5" xfId="0" applyNumberFormat="1" applyFont="1" applyFill="1" applyBorder="1" applyAlignment="1" applyProtection="1">
      <alignment horizontal="center" vertical="center" wrapText="1"/>
    </xf>
    <xf numFmtId="4" fontId="0" fillId="9" borderId="5" xfId="0" applyNumberFormat="1" applyFont="1" applyFill="1" applyBorder="1" applyAlignment="1" applyProtection="1">
      <alignment horizontal="center" vertical="center" wrapText="1"/>
    </xf>
    <xf numFmtId="184" fontId="0" fillId="9" borderId="5" xfId="0" applyNumberFormat="1" applyFont="1" applyFill="1" applyBorder="1" applyAlignment="1" applyProtection="1">
      <alignment horizontal="right" vertical="center"/>
    </xf>
    <xf numFmtId="0" fontId="0" fillId="9" borderId="155" xfId="0" applyFont="1" applyFill="1" applyBorder="1" applyAlignment="1" applyProtection="1">
      <alignment horizontal="center" vertical="center" wrapText="1"/>
    </xf>
    <xf numFmtId="0" fontId="23" fillId="9" borderId="18" xfId="0" applyFont="1" applyFill="1" applyBorder="1" applyAlignment="1" applyProtection="1">
      <alignment horizontal="center" vertical="center" wrapText="1"/>
    </xf>
    <xf numFmtId="0" fontId="23" fillId="9" borderId="55" xfId="0" applyFont="1" applyFill="1" applyBorder="1" applyAlignment="1" applyProtection="1">
      <alignment horizontal="center" vertical="center" wrapText="1"/>
    </xf>
    <xf numFmtId="0" fontId="38" fillId="9" borderId="38" xfId="0" applyFont="1" applyFill="1" applyBorder="1" applyAlignment="1" applyProtection="1">
      <alignment horizontal="right" vertical="center" wrapText="1"/>
    </xf>
    <xf numFmtId="0" fontId="38" fillId="9" borderId="52" xfId="0" applyFont="1" applyFill="1" applyBorder="1" applyAlignment="1" applyProtection="1">
      <alignment horizontal="left" vertical="center" wrapText="1"/>
    </xf>
    <xf numFmtId="0" fontId="0" fillId="9" borderId="148" xfId="0" applyFont="1" applyFill="1" applyBorder="1" applyAlignment="1" applyProtection="1">
      <alignment horizontal="center" vertical="center"/>
    </xf>
    <xf numFmtId="0" fontId="38" fillId="9" borderId="20" xfId="0" applyFont="1" applyFill="1" applyBorder="1" applyAlignment="1" applyProtection="1">
      <alignment horizontal="right" vertical="center" wrapText="1"/>
    </xf>
    <xf numFmtId="0" fontId="38" fillId="9" borderId="22" xfId="0" applyFont="1" applyFill="1" applyBorder="1" applyAlignment="1" applyProtection="1">
      <alignment horizontal="left" vertical="center" wrapText="1"/>
    </xf>
    <xf numFmtId="10" fontId="16" fillId="9" borderId="28" xfId="2" applyNumberFormat="1" applyFont="1" applyFill="1" applyBorder="1" applyAlignment="1" applyProtection="1">
      <alignment horizontal="center" vertical="center"/>
    </xf>
    <xf numFmtId="0" fontId="60" fillId="9" borderId="156" xfId="0" applyFont="1" applyFill="1" applyBorder="1" applyAlignment="1" applyProtection="1">
      <alignment horizontal="center" vertical="center" wrapText="1"/>
    </xf>
    <xf numFmtId="0" fontId="47" fillId="9" borderId="34" xfId="0" applyFont="1" applyFill="1" applyBorder="1" applyAlignment="1" applyProtection="1">
      <alignment horizontal="center" vertical="center"/>
    </xf>
    <xf numFmtId="10" fontId="0" fillId="9" borderId="151" xfId="0" applyNumberFormat="1" applyFont="1" applyFill="1" applyBorder="1" applyAlignment="1" applyProtection="1">
      <alignment horizontal="center" vertical="center" wrapText="1"/>
    </xf>
    <xf numFmtId="10" fontId="0" fillId="0" borderId="37" xfId="2" applyNumberFormat="1" applyFont="1" applyFill="1" applyBorder="1" applyAlignment="1" applyProtection="1">
      <alignment horizontal="center" vertical="center" wrapText="1"/>
    </xf>
    <xf numFmtId="0" fontId="47" fillId="9" borderId="127" xfId="0" applyFont="1" applyFill="1" applyBorder="1" applyAlignment="1" applyProtection="1">
      <alignment horizontal="justify" vertical="center" wrapText="1"/>
    </xf>
    <xf numFmtId="0" fontId="0" fillId="9" borderId="124" xfId="0" applyFont="1" applyFill="1" applyBorder="1" applyAlignment="1" applyProtection="1">
      <alignment horizontal="justify" vertical="center" wrapText="1"/>
    </xf>
    <xf numFmtId="0" fontId="23" fillId="9" borderId="0" xfId="0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horizontal="center" vertical="center"/>
    </xf>
    <xf numFmtId="0" fontId="38" fillId="9" borderId="61" xfId="0" applyFont="1" applyFill="1" applyBorder="1" applyAlignment="1" applyProtection="1">
      <alignment horizontal="center" vertical="center" wrapText="1"/>
    </xf>
    <xf numFmtId="10" fontId="23" fillId="9" borderId="64" xfId="2" applyNumberFormat="1" applyFont="1" applyFill="1" applyBorder="1" applyAlignment="1" applyProtection="1">
      <alignment horizontal="center" vertical="center" wrapText="1"/>
    </xf>
    <xf numFmtId="0" fontId="53" fillId="0" borderId="56" xfId="0" applyFont="1" applyBorder="1" applyAlignment="1" applyProtection="1">
      <alignment horizontal="justify" vertical="center"/>
    </xf>
    <xf numFmtId="0" fontId="10" fillId="0" borderId="25" xfId="0" applyFont="1" applyBorder="1" applyAlignment="1">
      <alignment horizontal="justify" vertical="center" wrapText="1"/>
    </xf>
    <xf numFmtId="0" fontId="10" fillId="11" borderId="25" xfId="0" applyFont="1" applyFill="1" applyBorder="1" applyAlignment="1">
      <alignment horizontal="justify" vertical="center" wrapText="1"/>
    </xf>
    <xf numFmtId="0" fontId="10" fillId="0" borderId="64" xfId="0" applyFont="1" applyBorder="1" applyAlignment="1">
      <alignment horizontal="justify" vertical="center" wrapText="1"/>
    </xf>
    <xf numFmtId="0" fontId="0" fillId="9" borderId="0" xfId="0" applyFont="1" applyFill="1" applyBorder="1" applyAlignment="1" applyProtection="1">
      <alignment horizontal="justify" vertical="center" wrapText="1"/>
    </xf>
    <xf numFmtId="0" fontId="53" fillId="9" borderId="0" xfId="0" applyFont="1" applyFill="1" applyBorder="1" applyAlignment="1" applyProtection="1">
      <alignment horizontal="justify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1" borderId="61" xfId="0" applyFont="1" applyFill="1" applyBorder="1" applyAlignment="1">
      <alignment horizontal="justify" vertical="center" wrapText="1"/>
    </xf>
    <xf numFmtId="0" fontId="63" fillId="9" borderId="9" xfId="0" applyFont="1" applyFill="1" applyBorder="1" applyAlignment="1" applyProtection="1">
      <alignment horizontal="center"/>
    </xf>
    <xf numFmtId="0" fontId="64" fillId="9" borderId="0" xfId="0" applyFont="1" applyFill="1" applyBorder="1" applyAlignment="1" applyProtection="1">
      <alignment horizontal="center"/>
    </xf>
    <xf numFmtId="0" fontId="63" fillId="9" borderId="12" xfId="0" applyFont="1" applyFill="1" applyBorder="1" applyAlignment="1" applyProtection="1">
      <alignment horizontal="center"/>
    </xf>
    <xf numFmtId="0" fontId="63" fillId="9" borderId="3" xfId="0" applyFont="1" applyFill="1" applyBorder="1" applyAlignment="1" applyProtection="1">
      <alignment horizontal="left"/>
    </xf>
    <xf numFmtId="0" fontId="63" fillId="9" borderId="2" xfId="0" applyFont="1" applyFill="1" applyBorder="1" applyAlignment="1" applyProtection="1">
      <alignment horizontal="left"/>
    </xf>
    <xf numFmtId="0" fontId="66" fillId="9" borderId="5" xfId="0" applyFont="1" applyFill="1" applyBorder="1" applyAlignment="1" applyProtection="1">
      <alignment horizontal="center" vertical="center"/>
    </xf>
    <xf numFmtId="0" fontId="66" fillId="3" borderId="133" xfId="0" applyFont="1" applyFill="1" applyBorder="1" applyAlignment="1" applyProtection="1">
      <alignment horizontal="left" vertical="center"/>
    </xf>
    <xf numFmtId="0" fontId="66" fillId="9" borderId="126" xfId="0" applyFont="1" applyFill="1" applyBorder="1" applyAlignment="1" applyProtection="1">
      <alignment horizontal="center" vertical="center"/>
    </xf>
    <xf numFmtId="0" fontId="66" fillId="9" borderId="163" xfId="0" applyFont="1" applyFill="1" applyBorder="1" applyAlignment="1" applyProtection="1">
      <alignment horizontal="center" vertical="center"/>
    </xf>
    <xf numFmtId="2" fontId="63" fillId="9" borderId="10" xfId="0" applyNumberFormat="1" applyFont="1" applyFill="1" applyBorder="1" applyAlignment="1" applyProtection="1">
      <alignment horizontal="justify" vertical="center" wrapText="1"/>
    </xf>
    <xf numFmtId="0" fontId="63" fillId="9" borderId="126" xfId="0" applyFont="1" applyFill="1" applyBorder="1" applyAlignment="1" applyProtection="1">
      <alignment horizontal="center" vertical="center"/>
    </xf>
    <xf numFmtId="0" fontId="63" fillId="9" borderId="163" xfId="0" applyFont="1" applyFill="1" applyBorder="1" applyAlignment="1" applyProtection="1">
      <alignment horizontal="right" vertical="center"/>
    </xf>
    <xf numFmtId="0" fontId="63" fillId="9" borderId="0" xfId="0" applyFont="1" applyFill="1" applyBorder="1" applyAlignment="1" applyProtection="1">
      <alignment horizontal="left" vertical="center"/>
    </xf>
    <xf numFmtId="0" fontId="63" fillId="9" borderId="5" xfId="0" applyFont="1" applyFill="1" applyBorder="1" applyAlignment="1" applyProtection="1">
      <alignment horizontal="left" vertical="center"/>
    </xf>
    <xf numFmtId="0" fontId="63" fillId="9" borderId="5" xfId="0" applyFont="1" applyFill="1" applyBorder="1" applyAlignment="1" applyProtection="1">
      <alignment horizontal="center" vertical="center"/>
    </xf>
    <xf numFmtId="0" fontId="63" fillId="9" borderId="5" xfId="0" applyFont="1" applyFill="1" applyBorder="1" applyAlignment="1" applyProtection="1">
      <alignment horizontal="center" vertical="center" wrapText="1"/>
    </xf>
    <xf numFmtId="184" fontId="63" fillId="9" borderId="5" xfId="1" applyNumberFormat="1" applyFont="1" applyFill="1" applyBorder="1" applyAlignment="1" applyProtection="1">
      <alignment horizontal="right" vertical="center"/>
    </xf>
    <xf numFmtId="2" fontId="63" fillId="11" borderId="10" xfId="0" applyNumberFormat="1" applyFont="1" applyFill="1" applyBorder="1" applyAlignment="1" applyProtection="1">
      <alignment horizontal="justify" vertical="center" wrapText="1"/>
      <protection locked="0"/>
    </xf>
    <xf numFmtId="0" fontId="70" fillId="9" borderId="10" xfId="0" applyFont="1" applyFill="1" applyBorder="1" applyAlignment="1" applyProtection="1">
      <alignment horizontal="justify" vertical="top" wrapText="1"/>
    </xf>
    <xf numFmtId="0" fontId="63" fillId="9" borderId="44" xfId="0" applyFont="1" applyFill="1" applyBorder="1" applyAlignment="1" applyProtection="1">
      <alignment horizontal="left" vertical="center"/>
    </xf>
    <xf numFmtId="0" fontId="63" fillId="9" borderId="159" xfId="0" applyFont="1" applyFill="1" applyBorder="1" applyAlignment="1" applyProtection="1">
      <alignment horizontal="justify" vertical="center"/>
    </xf>
    <xf numFmtId="4" fontId="66" fillId="9" borderId="5" xfId="0" applyNumberFormat="1" applyFont="1" applyFill="1" applyBorder="1" applyAlignment="1" applyProtection="1">
      <alignment horizontal="right" vertical="center"/>
    </xf>
    <xf numFmtId="0" fontId="66" fillId="9" borderId="44" xfId="0" applyFont="1" applyFill="1" applyBorder="1" applyAlignment="1" applyProtection="1">
      <alignment horizontal="right" vertical="center"/>
    </xf>
    <xf numFmtId="0" fontId="66" fillId="9" borderId="5" xfId="0" applyFont="1" applyFill="1" applyBorder="1" applyAlignment="1" applyProtection="1">
      <alignment horizontal="right" vertical="center"/>
    </xf>
    <xf numFmtId="0" fontId="65" fillId="9" borderId="10" xfId="0" applyFont="1" applyFill="1" applyBorder="1" applyAlignment="1" applyProtection="1">
      <alignment horizontal="justify" vertical="top" wrapText="1"/>
    </xf>
    <xf numFmtId="0" fontId="63" fillId="9" borderId="0" xfId="0" applyFont="1" applyFill="1" applyBorder="1" applyAlignment="1" applyProtection="1">
      <alignment horizontal="center"/>
    </xf>
    <xf numFmtId="49" fontId="65" fillId="3" borderId="62" xfId="0" applyNumberFormat="1" applyFont="1" applyFill="1" applyBorder="1" applyAlignment="1" applyProtection="1">
      <alignment horizontal="center" vertical="center" wrapText="1"/>
    </xf>
    <xf numFmtId="0" fontId="66" fillId="3" borderId="133" xfId="0" applyFont="1" applyFill="1" applyBorder="1" applyAlignment="1" applyProtection="1">
      <alignment horizontal="justify" vertical="center"/>
    </xf>
    <xf numFmtId="0" fontId="63" fillId="9" borderId="2" xfId="0" applyFont="1" applyFill="1" applyBorder="1" applyAlignment="1" applyProtection="1">
      <alignment horizontal="left" vertical="center"/>
    </xf>
    <xf numFmtId="0" fontId="63" fillId="9" borderId="4" xfId="0" applyFont="1" applyFill="1" applyBorder="1" applyAlignment="1" applyProtection="1">
      <alignment horizontal="center" vertical="center"/>
    </xf>
    <xf numFmtId="4" fontId="63" fillId="9" borderId="5" xfId="0" applyNumberFormat="1" applyFont="1" applyFill="1" applyBorder="1" applyAlignment="1" applyProtection="1">
      <alignment horizontal="right" vertical="center"/>
    </xf>
    <xf numFmtId="0" fontId="66" fillId="9" borderId="9" xfId="0" applyFont="1" applyFill="1" applyBorder="1" applyAlignment="1" applyProtection="1">
      <alignment horizontal="center" vertical="center"/>
    </xf>
    <xf numFmtId="185" fontId="63" fillId="9" borderId="3" xfId="0" applyNumberFormat="1" applyFont="1" applyFill="1" applyBorder="1" applyAlignment="1" applyProtection="1">
      <alignment horizontal="right" vertical="center"/>
    </xf>
    <xf numFmtId="185" fontId="63" fillId="9" borderId="3" xfId="0" applyNumberFormat="1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justify" vertical="center"/>
    </xf>
    <xf numFmtId="184" fontId="63" fillId="9" borderId="67" xfId="1" applyNumberFormat="1" applyFont="1" applyFill="1" applyBorder="1" applyAlignment="1" applyProtection="1">
      <alignment horizontal="right" vertical="center"/>
    </xf>
    <xf numFmtId="0" fontId="66" fillId="9" borderId="138" xfId="0" applyFont="1" applyFill="1" applyBorder="1" applyAlignment="1" applyProtection="1">
      <alignment horizontal="right" vertical="center"/>
    </xf>
    <xf numFmtId="2" fontId="66" fillId="9" borderId="117" xfId="0" applyNumberFormat="1" applyFont="1" applyFill="1" applyBorder="1" applyAlignment="1" applyProtection="1">
      <alignment horizontal="left" vertical="center"/>
    </xf>
    <xf numFmtId="0" fontId="63" fillId="9" borderId="117" xfId="0" applyFont="1" applyFill="1" applyBorder="1" applyAlignment="1" applyProtection="1">
      <alignment horizontal="center" vertical="center"/>
    </xf>
    <xf numFmtId="0" fontId="63" fillId="9" borderId="117" xfId="0" applyFont="1" applyFill="1" applyBorder="1" applyAlignment="1" applyProtection="1">
      <alignment horizontal="left" vertical="center" wrapText="1"/>
    </xf>
    <xf numFmtId="0" fontId="63" fillId="9" borderId="137" xfId="0" applyFont="1" applyFill="1" applyBorder="1" applyAlignment="1" applyProtection="1">
      <alignment horizontal="justify" vertical="center" wrapText="1"/>
    </xf>
    <xf numFmtId="185" fontId="63" fillId="9" borderId="67" xfId="0" applyNumberFormat="1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left" vertical="center" wrapText="1"/>
    </xf>
    <xf numFmtId="4" fontId="66" fillId="9" borderId="9" xfId="0" applyNumberFormat="1" applyFont="1" applyFill="1" applyBorder="1" applyAlignment="1" applyProtection="1">
      <alignment horizontal="center" vertical="center"/>
    </xf>
    <xf numFmtId="185" fontId="63" fillId="9" borderId="62" xfId="0" applyNumberFormat="1" applyFont="1" applyFill="1" applyBorder="1" applyAlignment="1" applyProtection="1">
      <alignment horizontal="center" vertical="center"/>
    </xf>
    <xf numFmtId="0" fontId="66" fillId="9" borderId="34" xfId="0" applyFont="1" applyFill="1" applyBorder="1" applyAlignment="1" applyProtection="1">
      <alignment horizontal="right" vertical="center"/>
    </xf>
    <xf numFmtId="2" fontId="66" fillId="9" borderId="103" xfId="0" applyNumberFormat="1" applyFont="1" applyFill="1" applyBorder="1" applyAlignment="1" applyProtection="1">
      <alignment horizontal="left" vertical="center"/>
    </xf>
    <xf numFmtId="0" fontId="63" fillId="9" borderId="103" xfId="0" applyFont="1" applyFill="1" applyBorder="1" applyAlignment="1" applyProtection="1">
      <alignment horizontal="center" vertical="center"/>
    </xf>
    <xf numFmtId="0" fontId="63" fillId="9" borderId="103" xfId="0" applyFont="1" applyFill="1" applyBorder="1" applyAlignment="1" applyProtection="1">
      <alignment horizontal="left" vertical="center" wrapText="1"/>
    </xf>
    <xf numFmtId="0" fontId="63" fillId="9" borderId="140" xfId="0" applyFont="1" applyFill="1" applyBorder="1" applyAlignment="1" applyProtection="1">
      <alignment horizontal="justify" vertical="center" wrapText="1"/>
    </xf>
    <xf numFmtId="185" fontId="63" fillId="9" borderId="33" xfId="0" applyNumberFormat="1" applyFont="1" applyFill="1" applyBorder="1" applyAlignment="1" applyProtection="1">
      <alignment horizontal="center" vertical="center"/>
    </xf>
    <xf numFmtId="184" fontId="63" fillId="9" borderId="33" xfId="1" applyNumberFormat="1" applyFont="1" applyFill="1" applyBorder="1" applyAlignment="1" applyProtection="1">
      <alignment horizontal="right" vertical="center"/>
    </xf>
    <xf numFmtId="0" fontId="63" fillId="9" borderId="10" xfId="0" applyFont="1" applyFill="1" applyBorder="1" applyAlignment="1" applyProtection="1">
      <alignment horizontal="left" vertical="top" wrapText="1"/>
    </xf>
    <xf numFmtId="0" fontId="63" fillId="9" borderId="8" xfId="0" applyFont="1" applyFill="1" applyBorder="1" applyAlignment="1" applyProtection="1">
      <alignment horizontal="left" vertical="top" wrapText="1"/>
    </xf>
    <xf numFmtId="0" fontId="63" fillId="9" borderId="3" xfId="0" applyFont="1" applyFill="1" applyBorder="1" applyAlignment="1" applyProtection="1">
      <alignment horizontal="left" vertical="center"/>
    </xf>
    <xf numFmtId="0" fontId="66" fillId="3" borderId="133" xfId="0" applyFont="1" applyFill="1" applyBorder="1" applyAlignment="1" applyProtection="1">
      <alignment horizontal="justify" vertical="center" wrapText="1"/>
    </xf>
    <xf numFmtId="0" fontId="66" fillId="9" borderId="6" xfId="0" applyFont="1" applyFill="1" applyBorder="1" applyAlignment="1" applyProtection="1">
      <alignment horizontal="center" vertical="center"/>
    </xf>
    <xf numFmtId="0" fontId="63" fillId="9" borderId="8" xfId="0" applyFont="1" applyFill="1" applyBorder="1" applyAlignment="1" applyProtection="1">
      <alignment horizontal="left" vertical="center" wrapText="1"/>
    </xf>
    <xf numFmtId="0" fontId="63" fillId="9" borderId="0" xfId="0" applyFont="1" applyFill="1" applyBorder="1" applyAlignment="1" applyProtection="1">
      <alignment horizontal="justify" vertical="center" wrapText="1"/>
    </xf>
    <xf numFmtId="0" fontId="63" fillId="9" borderId="5" xfId="23" applyFont="1" applyFill="1" applyBorder="1" applyAlignment="1" applyProtection="1">
      <alignment horizontal="left" vertical="center"/>
    </xf>
    <xf numFmtId="0" fontId="63" fillId="9" borderId="5" xfId="23" applyFont="1" applyFill="1" applyBorder="1" applyAlignment="1" applyProtection="1">
      <alignment horizontal="center" vertical="center" wrapText="1"/>
    </xf>
    <xf numFmtId="0" fontId="63" fillId="9" borderId="5" xfId="23" applyFont="1" applyFill="1" applyBorder="1" applyAlignment="1" applyProtection="1">
      <alignment horizontal="center" vertical="center"/>
    </xf>
    <xf numFmtId="4" fontId="66" fillId="9" borderId="5" xfId="23" applyNumberFormat="1" applyFont="1" applyFill="1" applyBorder="1" applyAlignment="1" applyProtection="1">
      <alignment horizontal="right" vertical="center"/>
    </xf>
    <xf numFmtId="0" fontId="66" fillId="9" borderId="8" xfId="0" applyFont="1" applyFill="1" applyBorder="1" applyAlignment="1" applyProtection="1">
      <alignment horizontal="justify" vertical="top"/>
    </xf>
    <xf numFmtId="0" fontId="63" fillId="9" borderId="10" xfId="0" applyFont="1" applyFill="1" applyBorder="1" applyAlignment="1" applyProtection="1">
      <alignment horizontal="justify" vertical="top" wrapText="1"/>
    </xf>
    <xf numFmtId="188" fontId="63" fillId="11" borderId="3" xfId="0" applyNumberFormat="1" applyFont="1" applyFill="1" applyBorder="1" applyAlignment="1" applyProtection="1">
      <alignment horizontal="center" vertical="center"/>
      <protection locked="0"/>
    </xf>
    <xf numFmtId="0" fontId="63" fillId="9" borderId="8" xfId="0" applyFont="1" applyFill="1" applyBorder="1" applyAlignment="1" applyProtection="1">
      <alignment horizontal="justify" vertical="center"/>
    </xf>
    <xf numFmtId="0" fontId="63" fillId="9" borderId="8" xfId="0" applyFont="1" applyFill="1" applyBorder="1" applyAlignment="1" applyProtection="1">
      <alignment horizontal="justify" vertical="center" wrapText="1"/>
    </xf>
    <xf numFmtId="188" fontId="63" fillId="9" borderId="67" xfId="0" applyNumberFormat="1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left" vertical="center"/>
    </xf>
    <xf numFmtId="185" fontId="63" fillId="9" borderId="2" xfId="0" applyNumberFormat="1" applyFont="1" applyFill="1" applyBorder="1" applyAlignment="1" applyProtection="1">
      <alignment horizontal="center" vertical="center"/>
    </xf>
    <xf numFmtId="0" fontId="63" fillId="9" borderId="8" xfId="0" applyFont="1" applyFill="1" applyBorder="1" applyAlignment="1" applyProtection="1">
      <alignment horizontal="justify" vertical="top" wrapText="1"/>
    </xf>
    <xf numFmtId="0" fontId="16" fillId="9" borderId="0" xfId="0" applyFont="1" applyFill="1" applyBorder="1" applyAlignment="1" applyProtection="1">
      <alignment horizontal="center"/>
    </xf>
    <xf numFmtId="0" fontId="39" fillId="9" borderId="12" xfId="0" applyFont="1" applyFill="1" applyBorder="1" applyAlignment="1" applyProtection="1">
      <alignment horizontal="center"/>
    </xf>
    <xf numFmtId="0" fontId="39" fillId="9" borderId="3" xfId="0" applyFont="1" applyFill="1" applyBorder="1" applyAlignment="1" applyProtection="1">
      <alignment horizontal="left"/>
    </xf>
    <xf numFmtId="49" fontId="23" fillId="3" borderId="62" xfId="0" applyNumberFormat="1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left"/>
    </xf>
    <xf numFmtId="0" fontId="39" fillId="9" borderId="9" xfId="0" applyFont="1" applyFill="1" applyBorder="1" applyAlignment="1" applyProtection="1">
      <alignment horizontal="center"/>
    </xf>
    <xf numFmtId="0" fontId="54" fillId="9" borderId="5" xfId="0" applyFont="1" applyFill="1" applyBorder="1" applyAlignment="1" applyProtection="1">
      <alignment horizontal="center" vertical="center"/>
    </xf>
    <xf numFmtId="0" fontId="54" fillId="3" borderId="133" xfId="0" applyFont="1" applyFill="1" applyBorder="1" applyAlignment="1" applyProtection="1">
      <alignment horizontal="justify" vertical="center" wrapText="1"/>
    </xf>
    <xf numFmtId="0" fontId="39" fillId="9" borderId="5" xfId="0" applyFont="1" applyFill="1" applyBorder="1" applyAlignment="1" applyProtection="1">
      <alignment horizontal="left" vertical="center"/>
    </xf>
    <xf numFmtId="0" fontId="39" fillId="9" borderId="5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center" vertical="center"/>
    </xf>
    <xf numFmtId="0" fontId="39" fillId="9" borderId="10" xfId="0" applyFont="1" applyFill="1" applyBorder="1" applyAlignment="1" applyProtection="1">
      <alignment horizontal="left" vertical="center"/>
    </xf>
    <xf numFmtId="0" fontId="39" fillId="9" borderId="10" xfId="0" applyFont="1" applyFill="1" applyBorder="1" applyAlignment="1" applyProtection="1">
      <alignment horizontal="left" vertical="center" wrapText="1"/>
    </xf>
    <xf numFmtId="0" fontId="39" fillId="9" borderId="10" xfId="0" applyFont="1" applyFill="1" applyBorder="1" applyAlignment="1" applyProtection="1">
      <alignment horizontal="justify" vertical="center" wrapText="1"/>
    </xf>
    <xf numFmtId="4" fontId="39" fillId="9" borderId="5" xfId="0" applyNumberFormat="1" applyFont="1" applyFill="1" applyBorder="1" applyAlignment="1" applyProtection="1">
      <alignment horizontal="right" vertical="center"/>
    </xf>
    <xf numFmtId="0" fontId="39" fillId="9" borderId="5" xfId="0" applyFont="1" applyFill="1" applyBorder="1" applyAlignment="1" applyProtection="1">
      <alignment horizontal="center" vertical="center" wrapText="1"/>
    </xf>
    <xf numFmtId="0" fontId="54" fillId="9" borderId="5" xfId="0" applyFont="1" applyFill="1" applyBorder="1" applyAlignment="1" applyProtection="1">
      <alignment horizontal="right" vertical="center"/>
    </xf>
    <xf numFmtId="185" fontId="39" fillId="9" borderId="2" xfId="0" applyNumberFormat="1" applyFont="1" applyFill="1" applyBorder="1" applyAlignment="1" applyProtection="1">
      <alignment horizontal="center" vertical="center"/>
    </xf>
    <xf numFmtId="185" fontId="39" fillId="9" borderId="62" xfId="0" applyNumberFormat="1" applyFont="1" applyFill="1" applyBorder="1" applyAlignment="1" applyProtection="1">
      <alignment horizontal="center" vertical="center"/>
    </xf>
    <xf numFmtId="4" fontId="54" fillId="9" borderId="5" xfId="0" applyNumberFormat="1" applyFont="1" applyFill="1" applyBorder="1" applyAlignment="1" applyProtection="1">
      <alignment horizontal="right" vertical="center"/>
    </xf>
    <xf numFmtId="0" fontId="39" fillId="9" borderId="10" xfId="0" applyFont="1" applyFill="1" applyBorder="1" applyAlignment="1" applyProtection="1">
      <alignment horizontal="justify" vertical="top" wrapText="1"/>
    </xf>
    <xf numFmtId="0" fontId="54" fillId="9" borderId="138" xfId="0" applyFont="1" applyFill="1" applyBorder="1" applyAlignment="1" applyProtection="1">
      <alignment horizontal="right" vertical="center"/>
    </xf>
    <xf numFmtId="2" fontId="54" fillId="9" borderId="117" xfId="0" applyNumberFormat="1" applyFont="1" applyFill="1" applyBorder="1" applyAlignment="1" applyProtection="1">
      <alignment horizontal="left" vertical="center"/>
    </xf>
    <xf numFmtId="0" fontId="39" fillId="9" borderId="117" xfId="0" applyFont="1" applyFill="1" applyBorder="1" applyAlignment="1" applyProtection="1">
      <alignment horizontal="center" vertical="center"/>
    </xf>
    <xf numFmtId="0" fontId="39" fillId="9" borderId="117" xfId="0" applyFont="1" applyFill="1" applyBorder="1" applyAlignment="1" applyProtection="1">
      <alignment horizontal="left" vertical="center" wrapText="1"/>
    </xf>
    <xf numFmtId="0" fontId="39" fillId="9" borderId="137" xfId="0" applyFont="1" applyFill="1" applyBorder="1" applyAlignment="1" applyProtection="1">
      <alignment horizontal="justify" vertical="center" wrapText="1"/>
    </xf>
    <xf numFmtId="185" fontId="39" fillId="9" borderId="67" xfId="0" applyNumberFormat="1" applyFont="1" applyFill="1" applyBorder="1" applyAlignment="1" applyProtection="1">
      <alignment horizontal="center" vertical="center"/>
    </xf>
    <xf numFmtId="184" fontId="39" fillId="9" borderId="67" xfId="1" applyNumberFormat="1" applyFont="1" applyFill="1" applyBorder="1" applyAlignment="1" applyProtection="1">
      <alignment horizontal="right" vertical="center"/>
    </xf>
    <xf numFmtId="0" fontId="54" fillId="9" borderId="44" xfId="0" applyFont="1" applyFill="1" applyBorder="1" applyAlignment="1" applyProtection="1">
      <alignment horizontal="right" vertical="center"/>
    </xf>
    <xf numFmtId="0" fontId="39" fillId="9" borderId="8" xfId="0" applyFont="1" applyFill="1" applyBorder="1" applyAlignment="1" applyProtection="1">
      <alignment horizontal="justify" vertical="top" wrapText="1"/>
    </xf>
    <xf numFmtId="0" fontId="54" fillId="3" borderId="133" xfId="0" applyFont="1" applyFill="1" applyBorder="1" applyAlignment="1" applyProtection="1">
      <alignment horizontal="justify" vertical="center"/>
    </xf>
    <xf numFmtId="0" fontId="39" fillId="9" borderId="8" xfId="0" applyFont="1" applyFill="1" applyBorder="1" applyAlignment="1" applyProtection="1">
      <alignment horizontal="justify" vertical="center" wrapText="1"/>
    </xf>
    <xf numFmtId="0" fontId="39" fillId="9" borderId="10" xfId="0" applyFont="1" applyFill="1" applyBorder="1" applyAlignment="1" applyProtection="1">
      <alignment horizontal="justify" vertical="center"/>
    </xf>
    <xf numFmtId="0" fontId="54" fillId="3" borderId="133" xfId="0" applyFont="1" applyFill="1" applyBorder="1" applyAlignment="1" applyProtection="1">
      <alignment horizontal="left" vertical="center"/>
    </xf>
    <xf numFmtId="0" fontId="39" fillId="9" borderId="8" xfId="0" applyFont="1" applyFill="1" applyBorder="1" applyAlignment="1" applyProtection="1">
      <alignment horizontal="left" vertical="center"/>
    </xf>
    <xf numFmtId="0" fontId="39" fillId="9" borderId="10" xfId="0" applyFont="1" applyFill="1" applyBorder="1" applyAlignment="1" applyProtection="1">
      <alignment horizontal="left" vertical="top" wrapText="1"/>
    </xf>
    <xf numFmtId="0" fontId="39" fillId="9" borderId="0" xfId="0" applyFont="1" applyFill="1" applyBorder="1" applyAlignment="1" applyProtection="1">
      <alignment horizontal="center"/>
    </xf>
    <xf numFmtId="0" fontId="39" fillId="9" borderId="2" xfId="0" applyFont="1" applyFill="1" applyBorder="1" applyAlignment="1" applyProtection="1">
      <alignment horizontal="left" vertical="center"/>
    </xf>
    <xf numFmtId="4" fontId="54" fillId="9" borderId="6" xfId="0" applyNumberFormat="1" applyFont="1" applyFill="1" applyBorder="1" applyAlignment="1" applyProtection="1">
      <alignment horizontal="center" vertical="center"/>
    </xf>
    <xf numFmtId="185" fontId="39" fillId="9" borderId="3" xfId="0" applyNumberFormat="1" applyFont="1" applyFill="1" applyBorder="1" applyAlignment="1" applyProtection="1">
      <alignment horizontal="center" vertical="center"/>
    </xf>
    <xf numFmtId="0" fontId="39" fillId="9" borderId="138" xfId="0" applyFont="1" applyFill="1" applyBorder="1" applyAlignment="1" applyProtection="1">
      <alignment horizontal="right" vertical="center"/>
    </xf>
    <xf numFmtId="0" fontId="39" fillId="9" borderId="117" xfId="0" applyFont="1" applyFill="1" applyBorder="1" applyAlignment="1" applyProtection="1">
      <alignment horizontal="left" vertical="center"/>
    </xf>
    <xf numFmtId="0" fontId="39" fillId="9" borderId="117" xfId="0" applyFont="1" applyFill="1" applyBorder="1" applyAlignment="1" applyProtection="1">
      <alignment horizontal="justify" vertical="center"/>
    </xf>
    <xf numFmtId="0" fontId="39" fillId="9" borderId="137" xfId="0" applyFont="1" applyFill="1" applyBorder="1" applyAlignment="1" applyProtection="1">
      <alignment horizontal="justify" vertical="center"/>
    </xf>
    <xf numFmtId="4" fontId="39" fillId="9" borderId="8" xfId="0" applyNumberFormat="1" applyFont="1" applyFill="1" applyBorder="1" applyAlignment="1" applyProtection="1">
      <alignment horizontal="justify" vertical="center"/>
    </xf>
    <xf numFmtId="4" fontId="54" fillId="9" borderId="9" xfId="0" applyNumberFormat="1" applyFont="1" applyFill="1" applyBorder="1" applyAlignment="1" applyProtection="1">
      <alignment horizontal="center" vertical="center"/>
    </xf>
    <xf numFmtId="4" fontId="39" fillId="9" borderId="10" xfId="0" applyNumberFormat="1" applyFont="1" applyFill="1" applyBorder="1" applyAlignment="1" applyProtection="1">
      <alignment horizontal="justify" vertical="center"/>
    </xf>
    <xf numFmtId="2" fontId="39" fillId="9" borderId="10" xfId="0" applyNumberFormat="1" applyFont="1" applyFill="1" applyBorder="1" applyAlignment="1" applyProtection="1">
      <alignment horizontal="justify" vertical="top" wrapText="1"/>
    </xf>
    <xf numFmtId="2" fontId="39" fillId="9" borderId="8" xfId="0" applyNumberFormat="1" applyFont="1" applyFill="1" applyBorder="1" applyAlignment="1" applyProtection="1">
      <alignment horizontal="justify" vertical="top" wrapText="1"/>
    </xf>
    <xf numFmtId="178" fontId="54" fillId="9" borderId="10" xfId="0" applyNumberFormat="1" applyFont="1" applyFill="1" applyBorder="1" applyAlignment="1" applyProtection="1">
      <alignment horizontal="left"/>
    </xf>
    <xf numFmtId="4" fontId="54" fillId="9" borderId="4" xfId="0" applyNumberFormat="1" applyFont="1" applyFill="1" applyBorder="1" applyAlignment="1" applyProtection="1">
      <alignment horizontal="right" vertical="center"/>
    </xf>
    <xf numFmtId="0" fontId="39" fillId="9" borderId="13" xfId="0" applyFont="1" applyFill="1" applyBorder="1" applyAlignment="1" applyProtection="1">
      <alignment horizontal="left" vertical="center"/>
    </xf>
    <xf numFmtId="4" fontId="54" fillId="9" borderId="138" xfId="0" applyNumberFormat="1" applyFont="1" applyFill="1" applyBorder="1" applyAlignment="1" applyProtection="1">
      <alignment horizontal="right" vertical="center"/>
    </xf>
    <xf numFmtId="185" fontId="39" fillId="9" borderId="3" xfId="0" applyNumberFormat="1" applyFont="1" applyFill="1" applyBorder="1" applyAlignment="1" applyProtection="1">
      <alignment horizontal="right" vertical="center"/>
    </xf>
    <xf numFmtId="185" fontId="39" fillId="9" borderId="62" xfId="0" applyNumberFormat="1" applyFont="1" applyFill="1" applyBorder="1" applyAlignment="1" applyProtection="1">
      <alignment horizontal="right" vertical="center"/>
    </xf>
    <xf numFmtId="184" fontId="39" fillId="9" borderId="5" xfId="0" applyNumberFormat="1" applyFont="1" applyFill="1" applyBorder="1" applyAlignment="1" applyProtection="1">
      <alignment horizontal="center" vertical="center"/>
    </xf>
    <xf numFmtId="0" fontId="0" fillId="9" borderId="74" xfId="22" applyFont="1" applyFill="1" applyBorder="1" applyAlignment="1" applyProtection="1">
      <alignment horizontal="justify" vertical="center"/>
    </xf>
    <xf numFmtId="0" fontId="72" fillId="9" borderId="0" xfId="22" applyFont="1" applyFill="1" applyBorder="1" applyAlignment="1" applyProtection="1">
      <alignment horizontal="center" vertical="center"/>
    </xf>
    <xf numFmtId="0" fontId="0" fillId="9" borderId="82" xfId="22" applyFont="1" applyFill="1" applyBorder="1" applyAlignment="1" applyProtection="1">
      <alignment horizontal="justify" vertical="center"/>
    </xf>
    <xf numFmtId="0" fontId="0" fillId="9" borderId="76" xfId="22" applyFont="1" applyFill="1" applyBorder="1" applyAlignment="1" applyProtection="1">
      <alignment horizontal="justify" vertical="center"/>
    </xf>
    <xf numFmtId="0" fontId="23" fillId="9" borderId="18" xfId="22" applyFont="1" applyFill="1" applyBorder="1" applyAlignment="1" applyProtection="1">
      <alignment horizontal="center" vertical="center"/>
    </xf>
    <xf numFmtId="0" fontId="23" fillId="9" borderId="76" xfId="22" applyFont="1" applyFill="1" applyBorder="1" applyAlignment="1" applyProtection="1">
      <alignment horizontal="center" vertical="center"/>
    </xf>
    <xf numFmtId="187" fontId="23" fillId="9" borderId="17" xfId="22" applyNumberFormat="1" applyFont="1" applyFill="1" applyBorder="1" applyAlignment="1" applyProtection="1">
      <alignment horizontal="center" vertical="center"/>
    </xf>
    <xf numFmtId="0" fontId="23" fillId="9" borderId="59" xfId="22" applyFont="1" applyFill="1" applyBorder="1" applyAlignment="1" applyProtection="1">
      <alignment horizontal="center" vertical="center"/>
    </xf>
    <xf numFmtId="0" fontId="23" fillId="9" borderId="60" xfId="22" applyFont="1" applyFill="1" applyBorder="1" applyAlignment="1" applyProtection="1">
      <alignment horizontal="center" vertical="center" wrapText="1"/>
    </xf>
    <xf numFmtId="4" fontId="23" fillId="9" borderId="29" xfId="22" applyNumberFormat="1" applyFont="1" applyFill="1" applyBorder="1" applyAlignment="1" applyProtection="1">
      <alignment horizontal="right" vertical="center" textRotation="90"/>
    </xf>
    <xf numFmtId="190" fontId="23" fillId="9" borderId="43" xfId="22" applyNumberFormat="1" applyFont="1" applyFill="1" applyBorder="1" applyAlignment="1" applyProtection="1">
      <alignment horizontal="left" vertical="center" textRotation="90"/>
    </xf>
    <xf numFmtId="0" fontId="23" fillId="9" borderId="56" xfId="22" applyFont="1" applyFill="1" applyBorder="1" applyAlignment="1" applyProtection="1">
      <alignment horizontal="right" vertical="center" textRotation="90"/>
    </xf>
    <xf numFmtId="190" fontId="23" fillId="11" borderId="50" xfId="22" applyNumberFormat="1" applyFont="1" applyFill="1" applyBorder="1" applyAlignment="1" applyProtection="1">
      <alignment horizontal="left" vertical="center" textRotation="90"/>
      <protection locked="0"/>
    </xf>
    <xf numFmtId="4" fontId="23" fillId="9" borderId="28" xfId="22" applyNumberFormat="1" applyFont="1" applyFill="1" applyBorder="1" applyAlignment="1" applyProtection="1">
      <alignment horizontal="right" vertical="center" textRotation="90"/>
    </xf>
    <xf numFmtId="0" fontId="23" fillId="9" borderId="28" xfId="22" applyFont="1" applyFill="1" applyBorder="1" applyAlignment="1" applyProtection="1">
      <alignment horizontal="right" vertical="center" textRotation="90"/>
    </xf>
    <xf numFmtId="190" fontId="23" fillId="11" borderId="43" xfId="22" applyNumberFormat="1" applyFont="1" applyFill="1" applyBorder="1" applyAlignment="1" applyProtection="1">
      <alignment horizontal="left" vertical="center" textRotation="90"/>
      <protection locked="0"/>
    </xf>
    <xf numFmtId="4" fontId="23" fillId="9" borderId="56" xfId="22" applyNumberFormat="1" applyFont="1" applyFill="1" applyBorder="1" applyAlignment="1" applyProtection="1">
      <alignment horizontal="right" vertical="center" textRotation="90" wrapText="1"/>
    </xf>
    <xf numFmtId="190" fontId="23" fillId="11" borderId="26" xfId="22" applyNumberFormat="1" applyFont="1" applyFill="1" applyBorder="1" applyAlignment="1" applyProtection="1">
      <alignment horizontal="left" vertical="center" textRotation="90" wrapText="1"/>
      <protection locked="0"/>
    </xf>
    <xf numFmtId="0" fontId="39" fillId="9" borderId="2" xfId="0" applyFont="1" applyFill="1" applyBorder="1" applyAlignment="1" applyProtection="1">
      <alignment horizontal="center" vertical="center"/>
    </xf>
    <xf numFmtId="0" fontId="39" fillId="9" borderId="0" xfId="0" applyFont="1" applyFill="1" applyBorder="1" applyAlignment="1" applyProtection="1">
      <alignment horizontal="justify" vertical="center"/>
    </xf>
    <xf numFmtId="185" fontId="39" fillId="9" borderId="13" xfId="0" applyNumberFormat="1" applyFont="1" applyFill="1" applyBorder="1" applyAlignment="1" applyProtection="1">
      <alignment horizontal="center" vertical="center"/>
    </xf>
    <xf numFmtId="4" fontId="54" fillId="9" borderId="62" xfId="0" applyNumberFormat="1" applyFont="1" applyFill="1" applyBorder="1" applyAlignment="1" applyProtection="1">
      <alignment horizontal="right" vertical="center"/>
    </xf>
    <xf numFmtId="184" fontId="39" fillId="9" borderId="33" xfId="1" applyNumberFormat="1" applyFont="1" applyFill="1" applyBorder="1" applyAlignment="1" applyProtection="1">
      <alignment horizontal="right" vertical="center"/>
    </xf>
    <xf numFmtId="0" fontId="54" fillId="9" borderId="34" xfId="0" applyFont="1" applyFill="1" applyBorder="1" applyAlignment="1" applyProtection="1">
      <alignment horizontal="right" vertical="center"/>
    </xf>
    <xf numFmtId="2" fontId="54" fillId="9" borderId="103" xfId="0" applyNumberFormat="1" applyFont="1" applyFill="1" applyBorder="1" applyAlignment="1" applyProtection="1">
      <alignment horizontal="left" vertical="center"/>
    </xf>
    <xf numFmtId="0" fontId="39" fillId="9" borderId="103" xfId="0" applyFont="1" applyFill="1" applyBorder="1" applyAlignment="1" applyProtection="1">
      <alignment horizontal="center" vertical="center"/>
    </xf>
    <xf numFmtId="0" fontId="39" fillId="9" borderId="103" xfId="0" applyFont="1" applyFill="1" applyBorder="1" applyAlignment="1" applyProtection="1">
      <alignment horizontal="left" vertical="center" wrapText="1"/>
    </xf>
    <xf numFmtId="0" fontId="39" fillId="9" borderId="140" xfId="0" applyFont="1" applyFill="1" applyBorder="1" applyAlignment="1" applyProtection="1">
      <alignment horizontal="justify" vertical="center" wrapText="1"/>
    </xf>
    <xf numFmtId="185" fontId="39" fillId="9" borderId="33" xfId="0" applyNumberFormat="1" applyFont="1" applyFill="1" applyBorder="1" applyAlignment="1" applyProtection="1">
      <alignment horizontal="center" vertical="center"/>
    </xf>
    <xf numFmtId="0" fontId="39" fillId="9" borderId="103" xfId="0" applyFont="1" applyFill="1" applyBorder="1" applyAlignment="1" applyProtection="1">
      <alignment horizontal="justify" vertical="center" wrapText="1"/>
    </xf>
    <xf numFmtId="0" fontId="39" fillId="9" borderId="8" xfId="0" applyFont="1" applyFill="1" applyBorder="1" applyAlignment="1" applyProtection="1">
      <alignment horizontal="justify" vertical="center"/>
    </xf>
    <xf numFmtId="0" fontId="39" fillId="9" borderId="8" xfId="0" applyFont="1" applyFill="1" applyBorder="1" applyAlignment="1" applyProtection="1">
      <alignment horizontal="left" vertical="top" wrapText="1"/>
    </xf>
    <xf numFmtId="185" fontId="39" fillId="9" borderId="10" xfId="0" applyNumberFormat="1" applyFont="1" applyFill="1" applyBorder="1" applyAlignment="1" applyProtection="1">
      <alignment horizontal="center" vertical="center"/>
    </xf>
    <xf numFmtId="185" fontId="39" fillId="9" borderId="8" xfId="0" applyNumberFormat="1" applyFont="1" applyFill="1" applyBorder="1" applyAlignment="1" applyProtection="1">
      <alignment horizontal="center" vertical="center"/>
    </xf>
    <xf numFmtId="191" fontId="39" fillId="9" borderId="67" xfId="0" applyNumberFormat="1" applyFont="1" applyFill="1" applyBorder="1" applyAlignment="1" applyProtection="1">
      <alignment horizontal="center" vertical="center"/>
    </xf>
    <xf numFmtId="191" fontId="39" fillId="9" borderId="33" xfId="0" applyNumberFormat="1" applyFont="1" applyFill="1" applyBorder="1" applyAlignment="1" applyProtection="1">
      <alignment horizontal="center" vertical="center"/>
    </xf>
    <xf numFmtId="184" fontId="0" fillId="0" borderId="0" xfId="0" applyNumberFormat="1" applyFont="1" applyProtection="1"/>
    <xf numFmtId="187" fontId="0" fillId="0" borderId="0" xfId="0" applyNumberFormat="1" applyFont="1" applyProtection="1"/>
    <xf numFmtId="184" fontId="0" fillId="0" borderId="0" xfId="0" applyNumberFormat="1"/>
    <xf numFmtId="184" fontId="39" fillId="0" borderId="0" xfId="0" applyNumberFormat="1" applyFont="1" applyAlignment="1" applyProtection="1">
      <alignment vertical="center"/>
    </xf>
    <xf numFmtId="193" fontId="0" fillId="0" borderId="0" xfId="0" applyNumberFormat="1" applyFont="1" applyProtection="1"/>
    <xf numFmtId="0" fontId="16" fillId="0" borderId="0" xfId="0" applyFont="1" applyFill="1" applyBorder="1" applyAlignment="1" applyProtection="1">
      <alignment vertical="center"/>
    </xf>
    <xf numFmtId="0" fontId="36" fillId="13" borderId="0" xfId="33" applyFont="1" applyFill="1" applyAlignment="1">
      <alignment horizontal="right" vertical="center"/>
    </xf>
    <xf numFmtId="0" fontId="36" fillId="13" borderId="0" xfId="33" applyFont="1" applyFill="1" applyAlignment="1">
      <alignment vertical="center"/>
    </xf>
    <xf numFmtId="0" fontId="75" fillId="14" borderId="0" xfId="33" applyFont="1" applyFill="1" applyAlignment="1">
      <alignment vertical="center"/>
    </xf>
    <xf numFmtId="0" fontId="23" fillId="15" borderId="0" xfId="33" applyFont="1" applyFill="1" applyAlignment="1">
      <alignment vertical="center"/>
    </xf>
    <xf numFmtId="0" fontId="23" fillId="15" borderId="0" xfId="33" applyFont="1" applyFill="1" applyAlignment="1">
      <alignment vertical="center" wrapText="1"/>
    </xf>
    <xf numFmtId="0" fontId="76" fillId="15" borderId="0" xfId="0" applyFont="1" applyFill="1" applyAlignment="1">
      <alignment horizontal="right"/>
    </xf>
    <xf numFmtId="10" fontId="23" fillId="15" borderId="0" xfId="2" applyNumberFormat="1" applyFont="1" applyFill="1" applyBorder="1" applyAlignment="1">
      <alignment horizontal="left" vertical="center"/>
    </xf>
    <xf numFmtId="0" fontId="36" fillId="15" borderId="0" xfId="33" applyFont="1" applyFill="1" applyAlignment="1">
      <alignment horizontal="right" vertical="center"/>
    </xf>
    <xf numFmtId="0" fontId="36" fillId="15" borderId="0" xfId="33" applyFont="1" applyFill="1" applyAlignment="1">
      <alignment horizontal="right" vertical="center" wrapText="1"/>
    </xf>
    <xf numFmtId="0" fontId="23" fillId="13" borderId="0" xfId="33" applyFont="1" applyFill="1" applyAlignment="1">
      <alignment vertical="center"/>
    </xf>
    <xf numFmtId="0" fontId="23" fillId="13" borderId="0" xfId="33" applyFont="1" applyFill="1" applyAlignment="1">
      <alignment horizontal="right" vertical="center"/>
    </xf>
    <xf numFmtId="0" fontId="75" fillId="15" borderId="0" xfId="0" applyFont="1" applyFill="1" applyAlignment="1">
      <alignment horizontal="right"/>
    </xf>
    <xf numFmtId="0" fontId="23" fillId="15" borderId="0" xfId="33" applyFont="1" applyFill="1" applyAlignment="1">
      <alignment horizontal="right" vertical="center"/>
    </xf>
    <xf numFmtId="0" fontId="23" fillId="15" borderId="0" xfId="33" applyFont="1" applyFill="1" applyAlignment="1">
      <alignment horizontal="right" vertical="center" wrapText="1"/>
    </xf>
    <xf numFmtId="0" fontId="23" fillId="15" borderId="0" xfId="33" applyFont="1" applyFill="1" applyAlignment="1">
      <alignment horizontal="left" vertical="center" wrapText="1"/>
    </xf>
    <xf numFmtId="49" fontId="16" fillId="9" borderId="89" xfId="0" applyNumberFormat="1" applyFont="1" applyFill="1" applyBorder="1" applyAlignment="1" applyProtection="1">
      <alignment horizontal="center" vertical="center" wrapText="1"/>
    </xf>
    <xf numFmtId="0" fontId="0" fillId="9" borderId="38" xfId="0" applyFont="1" applyFill="1" applyBorder="1" applyAlignment="1" applyProtection="1">
      <alignment horizontal="right" vertical="center"/>
    </xf>
    <xf numFmtId="0" fontId="0" fillId="9" borderId="12" xfId="0" applyFont="1" applyFill="1" applyBorder="1" applyAlignment="1" applyProtection="1">
      <alignment horizontal="right" vertical="center"/>
    </xf>
    <xf numFmtId="0" fontId="38" fillId="9" borderId="12" xfId="0" applyFont="1" applyFill="1" applyBorder="1" applyAlignment="1" applyProtection="1">
      <alignment horizontal="right" vertical="center"/>
    </xf>
    <xf numFmtId="184" fontId="0" fillId="9" borderId="12" xfId="0" applyNumberFormat="1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4" fontId="0" fillId="9" borderId="13" xfId="0" applyNumberFormat="1" applyFont="1" applyFill="1" applyBorder="1" applyAlignment="1" applyProtection="1">
      <alignment horizontal="left" vertical="center"/>
    </xf>
    <xf numFmtId="4" fontId="0" fillId="9" borderId="32" xfId="0" applyNumberFormat="1" applyFont="1" applyFill="1" applyBorder="1" applyAlignment="1" applyProtection="1">
      <alignment horizontal="left" vertical="center"/>
    </xf>
    <xf numFmtId="0" fontId="0" fillId="9" borderId="43" xfId="0" applyFont="1" applyFill="1" applyBorder="1" applyAlignment="1" applyProtection="1">
      <alignment vertical="center" wrapText="1"/>
    </xf>
    <xf numFmtId="0" fontId="38" fillId="9" borderId="80" xfId="0" applyFont="1" applyFill="1" applyBorder="1" applyAlignment="1" applyProtection="1">
      <alignment horizontal="center" vertical="center" wrapText="1"/>
    </xf>
    <xf numFmtId="0" fontId="16" fillId="9" borderId="182" xfId="0" applyFont="1" applyFill="1" applyBorder="1" applyAlignment="1" applyProtection="1">
      <alignment horizontal="center"/>
    </xf>
    <xf numFmtId="0" fontId="16" fillId="9" borderId="183" xfId="0" applyFont="1" applyFill="1" applyBorder="1" applyAlignment="1" applyProtection="1">
      <alignment horizontal="center"/>
    </xf>
    <xf numFmtId="0" fontId="16" fillId="9" borderId="184" xfId="0" applyFont="1" applyFill="1" applyBorder="1" applyAlignment="1" applyProtection="1">
      <alignment horizontal="center"/>
    </xf>
    <xf numFmtId="0" fontId="16" fillId="9" borderId="182" xfId="0" applyFont="1" applyFill="1" applyBorder="1" applyAlignment="1" applyProtection="1">
      <alignment horizontal="center" vertical="center"/>
    </xf>
    <xf numFmtId="0" fontId="16" fillId="9" borderId="183" xfId="0" applyFont="1" applyFill="1" applyBorder="1" applyAlignment="1" applyProtection="1">
      <alignment horizontal="center" vertical="center"/>
    </xf>
    <xf numFmtId="0" fontId="16" fillId="9" borderId="184" xfId="0" applyFont="1" applyFill="1" applyBorder="1" applyAlignment="1" applyProtection="1">
      <alignment horizontal="center" vertical="center"/>
    </xf>
    <xf numFmtId="0" fontId="0" fillId="9" borderId="185" xfId="0" applyFont="1" applyFill="1" applyBorder="1" applyAlignment="1" applyProtection="1">
      <alignment horizontal="center" vertical="center"/>
    </xf>
    <xf numFmtId="0" fontId="0" fillId="9" borderId="62" xfId="0" applyFont="1" applyFill="1" applyBorder="1" applyAlignment="1" applyProtection="1">
      <alignment horizontal="center" vertical="center"/>
    </xf>
    <xf numFmtId="0" fontId="0" fillId="9" borderId="12" xfId="0" applyFont="1" applyFill="1" applyBorder="1" applyAlignment="1" applyProtection="1">
      <alignment horizontal="center" vertical="center"/>
    </xf>
    <xf numFmtId="0" fontId="0" fillId="9" borderId="170" xfId="0" applyFont="1" applyFill="1" applyBorder="1" applyAlignment="1" applyProtection="1">
      <alignment horizontal="center" vertical="center" wrapText="1"/>
    </xf>
    <xf numFmtId="0" fontId="23" fillId="13" borderId="0" xfId="33" applyFont="1" applyFill="1" applyAlignment="1">
      <alignment horizontal="right" vertical="center" wrapText="1"/>
    </xf>
    <xf numFmtId="0" fontId="23" fillId="13" borderId="0" xfId="33" applyFont="1" applyFill="1" applyAlignment="1">
      <alignment horizontal="right" vertical="center" wrapText="1"/>
    </xf>
    <xf numFmtId="0" fontId="23" fillId="15" borderId="0" xfId="33" applyFont="1" applyFill="1" applyAlignment="1">
      <alignment horizontal="right" vertical="center" wrapText="1"/>
    </xf>
    <xf numFmtId="0" fontId="77" fillId="9" borderId="3" xfId="0" applyFont="1" applyFill="1" applyBorder="1" applyAlignment="1" applyProtection="1">
      <alignment horizontal="left"/>
    </xf>
    <xf numFmtId="0" fontId="78" fillId="9" borderId="2" xfId="0" applyFont="1" applyFill="1" applyBorder="1" applyAlignment="1" applyProtection="1">
      <alignment horizontal="left"/>
    </xf>
    <xf numFmtId="0" fontId="77" fillId="9" borderId="3" xfId="0" applyFont="1" applyFill="1" applyBorder="1" applyAlignment="1" applyProtection="1">
      <alignment horizontal="left" vertical="center"/>
    </xf>
    <xf numFmtId="0" fontId="17" fillId="9" borderId="2" xfId="0" applyFont="1" applyFill="1" applyBorder="1" applyAlignment="1" applyProtection="1">
      <alignment horizontal="left"/>
    </xf>
    <xf numFmtId="0" fontId="0" fillId="9" borderId="3" xfId="0" applyFont="1" applyFill="1" applyBorder="1" applyAlignment="1" applyProtection="1">
      <alignment horizontal="left"/>
    </xf>
    <xf numFmtId="0" fontId="44" fillId="9" borderId="3" xfId="0" applyFont="1" applyFill="1" applyBorder="1" applyAlignment="1" applyProtection="1">
      <alignment horizontal="left"/>
    </xf>
    <xf numFmtId="0" fontId="36" fillId="9" borderId="126" xfId="23" applyFont="1" applyFill="1" applyBorder="1" applyAlignment="1" applyProtection="1">
      <alignment horizontal="left" vertical="center" wrapText="1"/>
    </xf>
    <xf numFmtId="0" fontId="38" fillId="9" borderId="158" xfId="25" applyFont="1" applyFill="1" applyBorder="1" applyAlignment="1" applyProtection="1">
      <alignment horizontal="center" vertical="center" wrapText="1"/>
    </xf>
    <xf numFmtId="0" fontId="38" fillId="9" borderId="125" xfId="25" applyFont="1" applyFill="1" applyBorder="1" applyAlignment="1" applyProtection="1">
      <alignment horizontal="center" vertical="center" wrapText="1"/>
    </xf>
    <xf numFmtId="0" fontId="38" fillId="9" borderId="163" xfId="25" applyFont="1" applyFill="1" applyBorder="1" applyAlignment="1" applyProtection="1">
      <alignment horizontal="center" vertical="center" wrapText="1"/>
    </xf>
    <xf numFmtId="0" fontId="38" fillId="9" borderId="186" xfId="25" applyFont="1" applyFill="1" applyBorder="1" applyAlignment="1" applyProtection="1">
      <alignment horizontal="center" vertical="center" wrapText="1"/>
    </xf>
    <xf numFmtId="0" fontId="38" fillId="9" borderId="128" xfId="25" applyFont="1" applyFill="1" applyBorder="1" applyAlignment="1" applyProtection="1">
      <alignment horizontal="center" vertical="center" wrapText="1"/>
    </xf>
    <xf numFmtId="0" fontId="38" fillId="9" borderId="187" xfId="25" applyFont="1" applyFill="1" applyBorder="1" applyAlignment="1" applyProtection="1">
      <alignment horizontal="center" vertical="center" wrapText="1"/>
    </xf>
    <xf numFmtId="0" fontId="54" fillId="13" borderId="0" xfId="33" applyFont="1" applyFill="1" applyAlignment="1">
      <alignment vertical="center"/>
    </xf>
    <xf numFmtId="0" fontId="54" fillId="15" borderId="0" xfId="33" applyFont="1" applyFill="1" applyAlignment="1">
      <alignment vertical="center"/>
    </xf>
    <xf numFmtId="0" fontId="76" fillId="15" borderId="0" xfId="0" applyFont="1" applyFill="1"/>
    <xf numFmtId="0" fontId="36" fillId="15" borderId="0" xfId="33" applyFont="1" applyFill="1" applyAlignment="1">
      <alignment vertical="center"/>
    </xf>
    <xf numFmtId="0" fontId="54" fillId="15" borderId="0" xfId="33" applyFont="1" applyFill="1" applyAlignment="1">
      <alignment vertical="center" wrapText="1"/>
    </xf>
    <xf numFmtId="10" fontId="36" fillId="15" borderId="0" xfId="2" applyNumberFormat="1" applyFont="1" applyFill="1" applyBorder="1" applyAlignment="1">
      <alignment horizontal="left" vertical="center"/>
    </xf>
    <xf numFmtId="0" fontId="54" fillId="0" borderId="182" xfId="0" applyFont="1" applyBorder="1" applyAlignment="1">
      <alignment horizontal="center" vertical="center" wrapText="1"/>
    </xf>
    <xf numFmtId="0" fontId="54" fillId="0" borderId="183" xfId="0" applyFont="1" applyBorder="1" applyAlignment="1">
      <alignment horizontal="center" vertical="center" wrapText="1"/>
    </xf>
    <xf numFmtId="0" fontId="54" fillId="0" borderId="184" xfId="0" applyFont="1" applyBorder="1" applyAlignment="1">
      <alignment horizontal="center" vertical="center" wrapText="1"/>
    </xf>
    <xf numFmtId="0" fontId="74" fillId="0" borderId="181" xfId="0" applyFont="1" applyBorder="1" applyAlignment="1">
      <alignment horizontal="center" vertical="center"/>
    </xf>
    <xf numFmtId="0" fontId="74" fillId="16" borderId="181" xfId="0" applyFont="1" applyFill="1" applyBorder="1" applyAlignment="1">
      <alignment horizontal="center" vertical="center"/>
    </xf>
    <xf numFmtId="0" fontId="74" fillId="0" borderId="181" xfId="0" applyFont="1" applyBorder="1" applyAlignment="1">
      <alignment horizontal="center" vertical="center" wrapText="1"/>
    </xf>
    <xf numFmtId="0" fontId="23" fillId="17" borderId="181" xfId="0" applyFont="1" applyFill="1" applyBorder="1" applyAlignment="1">
      <alignment horizontal="center" vertical="center"/>
    </xf>
    <xf numFmtId="0" fontId="74" fillId="0" borderId="181" xfId="0" applyFont="1" applyBorder="1" applyAlignment="1">
      <alignment horizontal="center" vertical="center"/>
    </xf>
    <xf numFmtId="0" fontId="74" fillId="0" borderId="181" xfId="0" applyFont="1" applyBorder="1" applyAlignment="1">
      <alignment vertical="center"/>
    </xf>
    <xf numFmtId="10" fontId="79" fillId="0" borderId="181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10" fontId="74" fillId="0" borderId="181" xfId="0" applyNumberFormat="1" applyFont="1" applyBorder="1" applyAlignment="1">
      <alignment horizontal="center" vertical="center"/>
    </xf>
    <xf numFmtId="0" fontId="23" fillId="18" borderId="181" xfId="0" applyFont="1" applyFill="1" applyBorder="1" applyAlignment="1">
      <alignment horizontal="center" vertical="center"/>
    </xf>
    <xf numFmtId="10" fontId="23" fillId="18" borderId="181" xfId="0" applyNumberFormat="1" applyFont="1" applyFill="1" applyBorder="1" applyAlignment="1">
      <alignment horizontal="center" vertical="center"/>
    </xf>
    <xf numFmtId="0" fontId="23" fillId="18" borderId="188" xfId="0" applyFont="1" applyFill="1" applyBorder="1" applyAlignment="1">
      <alignment horizontal="center" vertical="center"/>
    </xf>
    <xf numFmtId="10" fontId="79" fillId="18" borderId="188" xfId="0" applyNumberFormat="1" applyFont="1" applyFill="1" applyBorder="1" applyAlignment="1">
      <alignment horizontal="center" vertical="center"/>
    </xf>
    <xf numFmtId="0" fontId="23" fillId="17" borderId="182" xfId="0" applyFont="1" applyFill="1" applyBorder="1" applyAlignment="1">
      <alignment horizontal="center" vertical="center"/>
    </xf>
    <xf numFmtId="0" fontId="23" fillId="17" borderId="183" xfId="0" applyFont="1" applyFill="1" applyBorder="1" applyAlignment="1">
      <alignment horizontal="center" vertical="center"/>
    </xf>
    <xf numFmtId="0" fontId="23" fillId="17" borderId="184" xfId="0" applyFont="1" applyFill="1" applyBorder="1" applyAlignment="1">
      <alignment horizontal="center" vertical="center"/>
    </xf>
    <xf numFmtId="0" fontId="74" fillId="0" borderId="189" xfId="0" applyFont="1" applyBorder="1" applyAlignment="1">
      <alignment horizontal="center" vertical="center"/>
    </xf>
    <xf numFmtId="0" fontId="74" fillId="0" borderId="189" xfId="0" applyFont="1" applyBorder="1" applyAlignment="1">
      <alignment vertical="center"/>
    </xf>
    <xf numFmtId="10" fontId="79" fillId="0" borderId="189" xfId="0" applyNumberFormat="1" applyFont="1" applyBorder="1" applyAlignment="1">
      <alignment horizontal="center" vertical="center"/>
    </xf>
    <xf numFmtId="0" fontId="74" fillId="0" borderId="181" xfId="0" applyFont="1" applyBorder="1" applyAlignment="1">
      <alignment vertical="center" wrapText="1"/>
    </xf>
    <xf numFmtId="10" fontId="79" fillId="18" borderId="181" xfId="0" applyNumberFormat="1" applyFont="1" applyFill="1" applyBorder="1" applyAlignment="1">
      <alignment horizontal="center" vertical="center"/>
    </xf>
    <xf numFmtId="0" fontId="23" fillId="17" borderId="182" xfId="0" applyFont="1" applyFill="1" applyBorder="1" applyAlignment="1">
      <alignment horizontal="right" vertical="center"/>
    </xf>
    <xf numFmtId="0" fontId="23" fillId="17" borderId="184" xfId="0" applyFont="1" applyFill="1" applyBorder="1" applyAlignment="1">
      <alignment horizontal="right" vertical="center"/>
    </xf>
    <xf numFmtId="10" fontId="80" fillId="17" borderId="181" xfId="0" applyNumberFormat="1" applyFont="1" applyFill="1" applyBorder="1" applyAlignment="1">
      <alignment horizontal="center" vertical="center"/>
    </xf>
    <xf numFmtId="0" fontId="36" fillId="15" borderId="0" xfId="33" applyFont="1" applyFill="1" applyAlignment="1">
      <alignment horizontal="left" vertical="center" wrapText="1"/>
    </xf>
  </cellXfs>
  <cellStyles count="34">
    <cellStyle name="Accent" xfId="16" xr:uid="{00000000-0005-0000-0000-000000000000}"/>
    <cellStyle name="Accent 1" xfId="17" xr:uid="{00000000-0005-0000-0000-000001000000}"/>
    <cellStyle name="Accent 2" xfId="18" xr:uid="{00000000-0005-0000-0000-000002000000}"/>
    <cellStyle name="Accent 3" xfId="19" xr:uid="{00000000-0005-0000-0000-000003000000}"/>
    <cellStyle name="Bom" xfId="11" builtinId="26" customBuiltin="1"/>
    <cellStyle name="Error" xfId="15" xr:uid="{00000000-0005-0000-0000-000006000000}"/>
    <cellStyle name="Footnote" xfId="9" xr:uid="{00000000-0005-0000-0000-000007000000}"/>
    <cellStyle name="Heading" xfId="4" xr:uid="{00000000-0005-0000-0000-000009000000}"/>
    <cellStyle name="Hiperlink" xfId="3" builtinId="8"/>
    <cellStyle name="Moeda 2 2" xfId="20" xr:uid="{00000000-0005-0000-0000-00000D000000}"/>
    <cellStyle name="Moeda_Planilha Hulha Negra" xfId="21" xr:uid="{00000000-0005-0000-0000-00000E000000}"/>
    <cellStyle name="Neutro" xfId="12" builtinId="28" customBuiltin="1"/>
    <cellStyle name="Normal" xfId="0" builtinId="0"/>
    <cellStyle name="Normal 17" xfId="33" xr:uid="{A0324699-BA8E-486A-AB44-555539FC6D2C}"/>
    <cellStyle name="Normal 2" xfId="22" xr:uid="{00000000-0005-0000-0000-000011000000}"/>
    <cellStyle name="Normal 2 2" xfId="23" xr:uid="{00000000-0005-0000-0000-000012000000}"/>
    <cellStyle name="Normal 3 2" xfId="24" xr:uid="{00000000-0005-0000-0000-000013000000}"/>
    <cellStyle name="Normal_cronograma_PROEJA_e_PEDAGOGICO(1)" xfId="26" xr:uid="{00000000-0005-0000-0000-000014000000}"/>
    <cellStyle name="Normal_Cronograma-Fisico-Financeiro" xfId="25" xr:uid="{00000000-0005-0000-0000-000015000000}"/>
    <cellStyle name="Normal_Planilha de dados- PA Triunfo - check list" xfId="27" xr:uid="{00000000-0005-0000-0000-000016000000}"/>
    <cellStyle name="Normal_Planilha de dados- PA Triunfo - check list_Quantificação Santa Cruz1" xfId="28" xr:uid="{00000000-0005-0000-0000-000017000000}"/>
    <cellStyle name="Normal_Resumo (2)" xfId="29" xr:uid="{00000000-0005-0000-0000-000018000000}"/>
    <cellStyle name="Nota" xfId="8" builtinId="10" customBuiltin="1"/>
    <cellStyle name="Porcentagem" xfId="2" builtinId="5"/>
    <cellStyle name="Porcentagem 2 2" xfId="30" xr:uid="{00000000-0005-0000-0000-00001B000000}"/>
    <cellStyle name="Ruim" xfId="13" builtinId="27" customBuiltin="1"/>
    <cellStyle name="Separador de milhares 2 2" xfId="31" xr:uid="{00000000-0005-0000-0000-00001C000000}"/>
    <cellStyle name="Separador de milhares 3" xfId="32" xr:uid="{00000000-0005-0000-0000-00001D000000}"/>
    <cellStyle name="Status" xfId="10" xr:uid="{00000000-0005-0000-0000-00001E000000}"/>
    <cellStyle name="Text" xfId="7" xr:uid="{00000000-0005-0000-0000-00001F000000}"/>
    <cellStyle name="Título 1" xfId="5" builtinId="16" customBuiltin="1"/>
    <cellStyle name="Título 2" xfId="6" builtinId="17" customBuiltin="1"/>
    <cellStyle name="Vírgula" xfId="1" builtinId="3"/>
    <cellStyle name="Warning" xfId="14" xr:uid="{00000000-0005-0000-0000-000020000000}"/>
  </cellStyles>
  <dxfs count="2"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1.emf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1066800</xdr:colOff>
      <xdr:row>31</xdr:row>
      <xdr:rowOff>47625</xdr:rowOff>
    </xdr:from>
    <xdr:to>
      <xdr:col>6</xdr:col>
      <xdr:colOff>3752850</xdr:colOff>
      <xdr:row>37</xdr:row>
      <xdr:rowOff>9525</xdr:rowOff>
    </xdr:to>
    <xdr:pic>
      <xdr:nvPicPr>
        <xdr:cNvPr id="1025" name="Figura 1">
          <a:extLst>
            <a:ext uri="{FF2B5EF4-FFF2-40B4-BE49-F238E27FC236}">
              <a16:creationId xmlns:a16="http://schemas.microsoft.com/office/drawing/2014/main" id="{BD87039F-53D2-4C31-ACAD-87CCF212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5867400"/>
          <a:ext cx="268605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647700</xdr:colOff>
      <xdr:row>139</xdr:row>
      <xdr:rowOff>47625</xdr:rowOff>
    </xdr:from>
    <xdr:to>
      <xdr:col>12</xdr:col>
      <xdr:colOff>447675</xdr:colOff>
      <xdr:row>144</xdr:row>
      <xdr:rowOff>190500</xdr:rowOff>
    </xdr:to>
    <xdr:pic>
      <xdr:nvPicPr>
        <xdr:cNvPr id="2049" name="Figura 1">
          <a:extLst>
            <a:ext uri="{FF2B5EF4-FFF2-40B4-BE49-F238E27FC236}">
              <a16:creationId xmlns:a16="http://schemas.microsoft.com/office/drawing/2014/main" id="{26E8C594-0008-4597-89E8-067A5B07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0708600"/>
          <a:ext cx="2695575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40</xdr:row>
      <xdr:rowOff>0</xdr:rowOff>
    </xdr:from>
    <xdr:to>
      <xdr:col>7</xdr:col>
      <xdr:colOff>428625</xdr:colOff>
      <xdr:row>43</xdr:row>
      <xdr:rowOff>57150</xdr:rowOff>
    </xdr:to>
    <xdr:pic>
      <xdr:nvPicPr>
        <xdr:cNvPr id="7169" name="Picture 1223">
          <a:extLst>
            <a:ext uri="{FF2B5EF4-FFF2-40B4-BE49-F238E27FC236}">
              <a16:creationId xmlns:a16="http://schemas.microsoft.com/office/drawing/2014/main" id="{4971D919-55EA-4E66-9D09-C547779F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096250"/>
          <a:ext cx="491490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781050</xdr:colOff>
      <xdr:row>40</xdr:row>
      <xdr:rowOff>133350</xdr:rowOff>
    </xdr:from>
    <xdr:to>
      <xdr:col>8</xdr:col>
      <xdr:colOff>447675</xdr:colOff>
      <xdr:row>41</xdr:row>
      <xdr:rowOff>152400</xdr:rowOff>
    </xdr:to>
    <xdr:pic>
      <xdr:nvPicPr>
        <xdr:cNvPr id="7170" name="Picture 1027">
          <a:extLst>
            <a:ext uri="{FF2B5EF4-FFF2-40B4-BE49-F238E27FC236}">
              <a16:creationId xmlns:a16="http://schemas.microsoft.com/office/drawing/2014/main" id="{49D5D67E-6343-40B5-A1EC-4F00DF68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8229600"/>
          <a:ext cx="847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83</xdr:row>
      <xdr:rowOff>66675</xdr:rowOff>
    </xdr:from>
    <xdr:to>
      <xdr:col>3</xdr:col>
      <xdr:colOff>0</xdr:colOff>
      <xdr:row>84</xdr:row>
      <xdr:rowOff>533400</xdr:rowOff>
    </xdr:to>
    <xdr:cxnSp macro="">
      <xdr:nvCxnSpPr>
        <xdr:cNvPr id="31745" name="Conector em curva 2">
          <a:extLst>
            <a:ext uri="{FF2B5EF4-FFF2-40B4-BE49-F238E27FC236}">
              <a16:creationId xmlns:a16="http://schemas.microsoft.com/office/drawing/2014/main" id="{B6C3D582-61EC-4FEF-8626-01B338D5C3E8}"/>
            </a:ext>
          </a:extLst>
        </xdr:cNvPr>
        <xdr:cNvCxnSpPr>
          <a:cxnSpLocks noChangeShapeType="1"/>
        </xdr:cNvCxnSpPr>
      </xdr:nvCxnSpPr>
      <xdr:spPr bwMode="auto">
        <a:xfrm flipV="1">
          <a:off x="695325" y="16725900"/>
          <a:ext cx="942975" cy="628650"/>
        </a:xfrm>
        <a:prstGeom prst="curvedConnector3">
          <a:avLst>
            <a:gd name="adj1" fmla="val 50000"/>
          </a:avLst>
        </a:prstGeom>
        <a:noFill/>
        <a:ln w="9360" cap="sq">
          <a:solidFill>
            <a:srgbClr val="400000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47625</xdr:colOff>
      <xdr:row>83</xdr:row>
      <xdr:rowOff>76200</xdr:rowOff>
    </xdr:from>
    <xdr:to>
      <xdr:col>7</xdr:col>
      <xdr:colOff>95250</xdr:colOff>
      <xdr:row>84</xdr:row>
      <xdr:rowOff>523875</xdr:rowOff>
    </xdr:to>
    <xdr:cxnSp macro="">
      <xdr:nvCxnSpPr>
        <xdr:cNvPr id="31746" name="Conector em curva 4">
          <a:extLst>
            <a:ext uri="{FF2B5EF4-FFF2-40B4-BE49-F238E27FC236}">
              <a16:creationId xmlns:a16="http://schemas.microsoft.com/office/drawing/2014/main" id="{BAA99E96-9C7E-4589-9D41-2E9587B477D3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190875" y="16735425"/>
          <a:ext cx="1552575" cy="609600"/>
        </a:xfrm>
        <a:prstGeom prst="curvedConnector3">
          <a:avLst>
            <a:gd name="adj1" fmla="val 50000"/>
          </a:avLst>
        </a:prstGeom>
        <a:noFill/>
        <a:ln w="9360" cap="sq">
          <a:solidFill>
            <a:srgbClr val="400000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314325</xdr:colOff>
      <xdr:row>3</xdr:row>
      <xdr:rowOff>123825</xdr:rowOff>
    </xdr:from>
    <xdr:to>
      <xdr:col>26</xdr:col>
      <xdr:colOff>571500</xdr:colOff>
      <xdr:row>28</xdr:row>
      <xdr:rowOff>28575</xdr:rowOff>
    </xdr:to>
    <xdr:pic>
      <xdr:nvPicPr>
        <xdr:cNvPr id="31747" name="Imagem 14">
          <a:extLst>
            <a:ext uri="{FF2B5EF4-FFF2-40B4-BE49-F238E27FC236}">
              <a16:creationId xmlns:a16="http://schemas.microsoft.com/office/drawing/2014/main" id="{F8A42398-B116-4D89-8986-D4404203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1" t="13947" r="11740" b="3421"/>
        <a:stretch>
          <a:fillRect/>
        </a:stretch>
      </xdr:blipFill>
      <xdr:spPr bwMode="auto">
        <a:xfrm>
          <a:off x="5581650" y="504825"/>
          <a:ext cx="11229975" cy="396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451" t="13947" r="11740" b="342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314325</xdr:colOff>
      <xdr:row>53</xdr:row>
      <xdr:rowOff>47625</xdr:rowOff>
    </xdr:from>
    <xdr:to>
      <xdr:col>23</xdr:col>
      <xdr:colOff>247650</xdr:colOff>
      <xdr:row>70</xdr:row>
      <xdr:rowOff>85725</xdr:rowOff>
    </xdr:to>
    <xdr:pic>
      <xdr:nvPicPr>
        <xdr:cNvPr id="31748" name="Imagem 15">
          <a:extLst>
            <a:ext uri="{FF2B5EF4-FFF2-40B4-BE49-F238E27FC236}">
              <a16:creationId xmlns:a16="http://schemas.microsoft.com/office/drawing/2014/main" id="{A88C09A7-72A6-4CC4-81C0-F569F131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6" t="1547" r="6439" b="842"/>
        <a:stretch>
          <a:fillRect/>
        </a:stretch>
      </xdr:blipFill>
      <xdr:spPr bwMode="auto">
        <a:xfrm>
          <a:off x="5581650" y="9705975"/>
          <a:ext cx="9077325" cy="3486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316" t="1547" r="6439" b="84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457200</xdr:colOff>
      <xdr:row>71</xdr:row>
      <xdr:rowOff>9525</xdr:rowOff>
    </xdr:from>
    <xdr:to>
      <xdr:col>20</xdr:col>
      <xdr:colOff>304800</xdr:colOff>
      <xdr:row>78</xdr:row>
      <xdr:rowOff>76200</xdr:rowOff>
    </xdr:to>
    <xdr:pic>
      <xdr:nvPicPr>
        <xdr:cNvPr id="31749" name="Imagem 16">
          <a:extLst>
            <a:ext uri="{FF2B5EF4-FFF2-40B4-BE49-F238E27FC236}">
              <a16:creationId xmlns:a16="http://schemas.microsoft.com/office/drawing/2014/main" id="{93520558-E1F1-4625-9C17-8585AB99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09" t="3285" r="20355" b="15039"/>
        <a:stretch>
          <a:fillRect/>
        </a:stretch>
      </xdr:blipFill>
      <xdr:spPr bwMode="auto">
        <a:xfrm>
          <a:off x="6943725" y="13430250"/>
          <a:ext cx="5943600" cy="2495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0609" t="3285" r="20355" b="1503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495300</xdr:colOff>
      <xdr:row>26</xdr:row>
      <xdr:rowOff>0</xdr:rowOff>
    </xdr:from>
    <xdr:to>
      <xdr:col>20</xdr:col>
      <xdr:colOff>514350</xdr:colOff>
      <xdr:row>52</xdr:row>
      <xdr:rowOff>85725</xdr:rowOff>
    </xdr:to>
    <xdr:pic>
      <xdr:nvPicPr>
        <xdr:cNvPr id="31750" name="Imagem 17">
          <a:extLst>
            <a:ext uri="{FF2B5EF4-FFF2-40B4-BE49-F238E27FC236}">
              <a16:creationId xmlns:a16="http://schemas.microsoft.com/office/drawing/2014/main" id="{B4C842A9-DE95-44B7-8555-243F38F2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1" r="25378" b="60"/>
        <a:stretch>
          <a:fillRect/>
        </a:stretch>
      </xdr:blipFill>
      <xdr:spPr bwMode="auto">
        <a:xfrm>
          <a:off x="6981825" y="4162425"/>
          <a:ext cx="6115050" cy="5267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3331" r="25378" b="6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11</xdr:col>
      <xdr:colOff>0</xdr:colOff>
      <xdr:row>88</xdr:row>
      <xdr:rowOff>57150</xdr:rowOff>
    </xdr:from>
    <xdr:to>
      <xdr:col>15</xdr:col>
      <xdr:colOff>152400</xdr:colOff>
      <xdr:row>93</xdr:row>
      <xdr:rowOff>95250</xdr:rowOff>
    </xdr:to>
    <xdr:pic>
      <xdr:nvPicPr>
        <xdr:cNvPr id="31751" name="Figura 1">
          <a:extLst>
            <a:ext uri="{FF2B5EF4-FFF2-40B4-BE49-F238E27FC236}">
              <a16:creationId xmlns:a16="http://schemas.microsoft.com/office/drawing/2014/main" id="{397DCA64-A0E9-4DA5-AF57-78800113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8459450"/>
          <a:ext cx="25908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rora%202017\Or&#231;amento%20BASE%20AURORA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de entrada"/>
      <sheetName val="Atualização de custos unitarios"/>
      <sheetName val="FIC"/>
      <sheetName val="FIT"/>
      <sheetName val="Plan. de campo"/>
      <sheetName val="Nota de serviço"/>
      <sheetName val="Planilha orçamentária"/>
      <sheetName val="Cronograma"/>
      <sheetName val="Composições - Equipamentos"/>
      <sheetName val="Composições - Transportes"/>
      <sheetName val="LDI"/>
      <sheetName val="1.1-Mobil"/>
      <sheetName val="1.2-Exec.Canteiro"/>
      <sheetName val="1.3-Canteiro.Aloj"/>
      <sheetName val="1.4-Placa.Obra"/>
      <sheetName val="1.5-Comp."/>
      <sheetName val="2.1-Licenc."/>
      <sheetName val="2.2-Proj Exec"/>
      <sheetName val="2.3-Proj Ponte CA"/>
      <sheetName val="2.4-Sondagem 1ª cat"/>
      <sheetName val="2.5-Sondagem 2ª cat"/>
      <sheetName val="2.6-Sondagem 3ª cat"/>
      <sheetName val="2.7-Hidrologia Pontes"/>
      <sheetName val="2.8-Topografia Pontes"/>
      <sheetName val="2.9-Comp"/>
      <sheetName val="2.10-Comp"/>
      <sheetName val="2.11-Comp "/>
      <sheetName val="3.1-Adm. Local"/>
      <sheetName val="3.2-Comp."/>
      <sheetName val="4.1-Desmat. e Limpeza"/>
      <sheetName val="4.2-Desmat. 0.15"/>
      <sheetName val="4.3-Desmat.Maior 0.15"/>
      <sheetName val="4.4-Destoc. 0.15 a 0.30"/>
      <sheetName val="4.5-Destoc.Maior 0.30"/>
      <sheetName val="4.6-Comp"/>
      <sheetName val="4.7-Comp"/>
      <sheetName val="4.8-Comp"/>
      <sheetName val="5.1-ECT-50m"/>
      <sheetName val="5.2-ECT-50-200m"/>
      <sheetName val="5.3-ECT-200-400m"/>
      <sheetName val="5.4-ECT-400-600m"/>
      <sheetName val="5.5-ECT-600-800m"/>
      <sheetName val="5.6-ECT-800-1000m"/>
      <sheetName val="5.7-Esc.Carga 2a"/>
      <sheetName val="5.8-Esc.Carga 2a 50-200"/>
      <sheetName val="5.9-Esc.Carga 3a"/>
      <sheetName val="5.10-Esc.Carga"/>
      <sheetName val="5.11-Transp LN"/>
      <sheetName val="5.12-Transp RP"/>
      <sheetName val="5.13-Cpct.Aterro"/>
      <sheetName val="5.14-Reconf.Plat."/>
      <sheetName val="5.15-Esc.Mec.Vala"/>
      <sheetName val="5.16-Bigodes"/>
      <sheetName val="5.17-Exp.Areia"/>
      <sheetName val="5.18-Exp.Jaz"/>
      <sheetName val="5.19-Semead.Manual.Taludes"/>
      <sheetName val="5.20-Caixas.Retenção"/>
      <sheetName val="5.21-Lombadas"/>
      <sheetName val="5.22-Comp"/>
      <sheetName val="5.23-Comp"/>
      <sheetName val="5.24-Comp"/>
      <sheetName val="5.25-Comp"/>
      <sheetName val="6.1-Cp.BSTC-40"/>
      <sheetName val="6.2-Cp.BSTC-60"/>
      <sheetName val="6.3-Cp.BSTC-80"/>
      <sheetName val="6.4-Cp.BSTC-100"/>
      <sheetName val="6.5-Cp.BSTC-120"/>
      <sheetName val="6.6-Cp.BSTC-150"/>
      <sheetName val="6.7-Cp.BDTC-40"/>
      <sheetName val="6.8-Cp.BDTC-60"/>
      <sheetName val="6.9-Cp.BDTC-80"/>
      <sheetName val="6.10-Cp.BDTC-100"/>
      <sheetName val="6.11-Cp.BDTC-120"/>
      <sheetName val="6.12-Cp.BDTC-150"/>
      <sheetName val="6.13-Cp.BTTC-40"/>
      <sheetName val="6.14-Cp.BTTC-60"/>
      <sheetName val="6.15-Cp.BTTC-80"/>
      <sheetName val="6.16-Cp.BTTC-100"/>
      <sheetName val="6.17-Cp.BTTC-120"/>
      <sheetName val="6.18-Cp.BTTC-150"/>
      <sheetName val="6.19-Bca.BSTC-40"/>
      <sheetName val="6.20-Bca.BSTC-60"/>
      <sheetName val="6.21-Bca.BSTC-80"/>
      <sheetName val="6.22-Bca.BSTC-100"/>
      <sheetName val="6.23-Bca.BSTC-120"/>
      <sheetName val="6.24-Bca.BSTC-150"/>
      <sheetName val="6.25-Bca.BDTC-40"/>
      <sheetName val="6.26-Bca.BDTC-60"/>
      <sheetName val="6.27-Bca.BDTC-80"/>
      <sheetName val="6.28-Bca.BDTC-100"/>
      <sheetName val="6.29-Bca.BDTC-120"/>
      <sheetName val="6.30-Bca.BDTC-150"/>
      <sheetName val="6.31-Bca.BTTC-40"/>
      <sheetName val="6.32-Bca.BTTC-60"/>
      <sheetName val="6.33-Bca.BTTC-80"/>
      <sheetName val="6.34-Bca.BTTC-100"/>
      <sheetName val="6.35-Bca.BTTC-120"/>
      <sheetName val="6.36-Bca.BTTC-150"/>
      <sheetName val="6.19-Bca.Ped.BSTC-40"/>
      <sheetName val="6.20-Bca.Ped.BSTC-60"/>
      <sheetName val="6.21-Bca.Ped.BSTC-80"/>
      <sheetName val="6.22-Bca.Ped.BSTC-100"/>
      <sheetName val="6.23-Bca.Ped.BSTC-120"/>
      <sheetName val="6.24-Bca.Ped.BSTC-150"/>
      <sheetName val="6.25-Bca.Ped.BDTC-40"/>
      <sheetName val="6.26-Bca.Ped.BDTC-60"/>
      <sheetName val="6.27-Bca.Ped.BDTC-80"/>
      <sheetName val="6.28-Bca.Ped.BDTC-100"/>
      <sheetName val="6.29-Bca.Ped.BDTC-120"/>
      <sheetName val="6.30-Bca.Ped.BDTC-150"/>
      <sheetName val="6.31-Bca.Ped.BTTC-40"/>
      <sheetName val="6.32-Bca.Ped.BTTC-60"/>
      <sheetName val="6.33-Bca.Ped.BTTC-80"/>
      <sheetName val="6.34-Bca.Ped.BTTC-100"/>
      <sheetName val="6.35-Bca.Ped.BTTC-120"/>
      <sheetName val="6.36-Bca.Ped.BTTC-150"/>
      <sheetName val="6.37-Esc.Mec.Vala"/>
      <sheetName val="6.38-Reaterro.Man.Soq.Vib"/>
      <sheetName val="6.39-Comp"/>
      <sheetName val="6.40-Comp"/>
      <sheetName val="6.41-Comp"/>
      <sheetName val="Quant. Ponte Madeira"/>
      <sheetName val="7.1-Pte.Mad."/>
      <sheetName val="7.2-Pte.Ala."/>
      <sheetName val="7.3-Pte.Ped.Arg.Mad."/>
      <sheetName val="7.4-Ptlh.Mad"/>
      <sheetName val="7.5-Pte.Mist.Conc.Mad."/>
      <sheetName val="7.6-Pte.Conc.Armado"/>
      <sheetName val="7.7-Sinaliz.Obra.Arte"/>
      <sheetName val="7.8-Mata.Burro"/>
      <sheetName val="7.9-Passagem.Molhada"/>
      <sheetName val="7.10-Sinaliz.Provisória"/>
      <sheetName val="7.11-Comp"/>
      <sheetName val="7.12-Comp"/>
      <sheetName val="7.13-Comp"/>
      <sheetName val="8.1-Esc.Cga.Mat.Jaz."/>
      <sheetName val="8.2-Transp.LN"/>
      <sheetName val="8.3-Transp.RP"/>
      <sheetName val="8.4-Cpct.Aterro"/>
      <sheetName val="8.5-Solo.Brita"/>
      <sheetName val="8.6-Comp"/>
      <sheetName val="8.7-Comp"/>
      <sheetName val="9.1-Preenc.Mat.Org.Fx.Domínio"/>
      <sheetName val="9.2-Semeadura manual"/>
      <sheetName val="9.3-Comp"/>
      <sheetName val="9.4-Comp"/>
      <sheetName val="9.5-Comp"/>
      <sheetName val="A001-Escav.Man.Valas"/>
      <sheetName val="A002-AçoCA-25"/>
      <sheetName val="A003-Tábua"/>
      <sheetName val="A004-Forma.Comum"/>
      <sheetName val="A005-Argamassa.1-3"/>
      <sheetName val="A006-Argamassa.1-4"/>
      <sheetName val="A007-Alv.Ped.Arg.1-3"/>
      <sheetName val="A008-Alv.Ped.Arg.1-4"/>
      <sheetName val="A009-Conc.20MPa"/>
      <sheetName val="A010-Conc.Cicl.20MPa"/>
      <sheetName val="A011-Pint. Esmalte"/>
      <sheetName val="A012-Pint.Imuniz."/>
      <sheetName val="A013-Placa.Refletiva.Sin"/>
      <sheetName val="A014-Placa.Refletiva.Obra"/>
      <sheetName val="A015-Suporte.Placa"/>
      <sheetName val="A016-Levant.Planialt."/>
      <sheetName val="A017-Pintura.Eletrostática"/>
      <sheetName val="A018-Transp.Cam.Basc.Rev.Pri"/>
      <sheetName val="A019-Enroc.Pedr.Arrum"/>
      <sheetName val="A020-Colchão.Areia"/>
      <sheetName val="A021-Roçada.Manual"/>
      <sheetName val="A022-Placa.Refl.D-60"/>
      <sheetName val="A023-Placa.Refl.100x60"/>
      <sheetName val="A024-Placa.Refl.Barreira"/>
      <sheetName val="Conversão ECT Basc 10m3"/>
      <sheetName val="Vol. Bueiro40"/>
      <sheetName val="Vol. Bueiro60"/>
      <sheetName val="Vol. Bueiro80"/>
      <sheetName val="Vol. Bueiro100"/>
      <sheetName val="Vol. Bueiro120"/>
      <sheetName val="Vol. Bueiro150"/>
      <sheetName val="Vol. Ref"/>
    </sheetNames>
    <sheetDataSet>
      <sheetData sheetId="0" refreshError="1">
        <row r="5">
          <cell r="C5" t="str">
            <v>Estado do Pará</v>
          </cell>
        </row>
        <row r="7">
          <cell r="C7" t="str">
            <v>Prefeitura Municipal de Aurora do Pará</v>
          </cell>
        </row>
        <row r="11">
          <cell r="C11" t="str">
            <v>Construção / Recuperação e complementação de estradas vicinais</v>
          </cell>
        </row>
        <row r="21">
          <cell r="C21" t="str">
            <v>PA Manoel Crescêncio de Souza</v>
          </cell>
        </row>
        <row r="25">
          <cell r="C25" t="str">
            <v>OREGON 650</v>
          </cell>
        </row>
        <row r="27">
          <cell r="C27">
            <v>44454</v>
          </cell>
        </row>
      </sheetData>
      <sheetData sheetId="1" refreshError="1">
        <row r="4">
          <cell r="C4" t="str">
            <v>PROJETO BÁSICO DE ENGENHARIA</v>
          </cell>
        </row>
        <row r="12">
          <cell r="A12" t="str">
            <v>DNIT –</v>
          </cell>
          <cell r="B12" t="str">
            <v>E9010</v>
          </cell>
          <cell r="C12" t="str">
            <v>Balança plataforma digital com mesa de 75 x 75 cm e capacidade de 500 kg (BKH - 500 Advanced - Balmak)</v>
          </cell>
        </row>
        <row r="13">
          <cell r="A13" t="str">
            <v>DNIT –</v>
          </cell>
          <cell r="B13" t="str">
            <v>E9064</v>
          </cell>
          <cell r="C13" t="str">
            <v>Transportador manual gerica com capacidade de 180 l</v>
          </cell>
        </row>
        <row r="14">
          <cell r="A14" t="str">
            <v>DNIT –</v>
          </cell>
          <cell r="B14" t="str">
            <v>E9066</v>
          </cell>
          <cell r="C14" t="str">
            <v>Grupo gerador - 13 / 14 kVA</v>
          </cell>
        </row>
        <row r="15">
          <cell r="A15" t="str">
            <v>DNIT –</v>
          </cell>
          <cell r="B15" t="str">
            <v>E9069</v>
          </cell>
          <cell r="C15" t="str">
            <v>Vibrador de imersão para concreto - 4,1 kW (D = 35 mm - Menegotti)</v>
          </cell>
        </row>
        <row r="16">
          <cell r="A16" t="str">
            <v>DNIT –</v>
          </cell>
          <cell r="B16" t="str">
            <v>E9071</v>
          </cell>
          <cell r="C16" t="str">
            <v>Transportador manual carrinho de mão com capacidade de 80 l</v>
          </cell>
        </row>
        <row r="17">
          <cell r="A17" t="str">
            <v>DNIT –</v>
          </cell>
          <cell r="B17" t="str">
            <v>E9076</v>
          </cell>
          <cell r="C17" t="str">
            <v>Equipamento de pintura com cabine de 7,00 kW e estufa de 80.000 kCal para pintura eletrostática</v>
          </cell>
        </row>
        <row r="18">
          <cell r="A18" t="str">
            <v>DNIT –</v>
          </cell>
          <cell r="B18" t="str">
            <v>E9502</v>
          </cell>
          <cell r="C18" t="str">
            <v>Bate-estaca de gravidade para 3,5 a 4,0 t - 119 Kw</v>
          </cell>
        </row>
        <row r="19">
          <cell r="A19" t="str">
            <v>DNIT –</v>
          </cell>
          <cell r="B19" t="str">
            <v>E9507</v>
          </cell>
          <cell r="C19" t="str">
            <v>Computador, plotter de recorte e software</v>
          </cell>
        </row>
        <row r="20">
          <cell r="A20" t="str">
            <v>DNIT –</v>
          </cell>
          <cell r="B20" t="str">
            <v>E9508</v>
          </cell>
          <cell r="C20" t="str">
            <v>Caminhão carroceria com capacidade de 9 t - 136 kW (Atego 1419 - Mercedes-Benz)</v>
          </cell>
        </row>
        <row r="21">
          <cell r="B21" t="str">
            <v>A9309</v>
          </cell>
          <cell r="C21" t="str">
            <v>Caminhão plataforma 4 x 2, PBT 17.100 kg e distância entre eixos 4,8 m - 136 kW - Motorista de caminhão</v>
          </cell>
        </row>
        <row r="22">
          <cell r="B22" t="str">
            <v>A9350</v>
          </cell>
          <cell r="C22" t="str">
            <v>Carroceria de madeira com capacidade de 9 t</v>
          </cell>
        </row>
        <row r="23">
          <cell r="A23" t="str">
            <v>DNIT –</v>
          </cell>
          <cell r="B23" t="str">
            <v>E9511</v>
          </cell>
          <cell r="C23" t="str">
            <v>Carregadeira de pneus com capacidade de 3,30 m³ - 213 kW (950H - Caterpillar)</v>
          </cell>
        </row>
        <row r="24">
          <cell r="A24" t="str">
            <v>DNIT –</v>
          </cell>
          <cell r="B24" t="str">
            <v>E9515</v>
          </cell>
          <cell r="C24" t="str">
            <v>Escavadeira hidráulica sobre esteira com caçamba com capacidade de 1,50 m³ - 110 kW (323 DL-Caterpillar)</v>
          </cell>
        </row>
        <row r="25">
          <cell r="A25" t="str">
            <v>DNIT –</v>
          </cell>
          <cell r="B25" t="str">
            <v>E9517</v>
          </cell>
          <cell r="C25" t="str">
            <v>Compressor de ar portátil de 912 PCM - 184 kW (XAS 430CUd - Atlas Copco)</v>
          </cell>
        </row>
        <row r="26">
          <cell r="A26" t="str">
            <v>DNIT –</v>
          </cell>
          <cell r="B26" t="str">
            <v>E9518</v>
          </cell>
          <cell r="C26" t="str">
            <v>Grade de 24 discos rebocável de 24" (GAM 24 x 24" - Marchesan)</v>
          </cell>
        </row>
        <row r="27">
          <cell r="A27" t="str">
            <v>DNIT –</v>
          </cell>
          <cell r="B27" t="str">
            <v>E9519</v>
          </cell>
          <cell r="C27" t="str">
            <v>Betoneira com motor a gasolina e capacidade de 600 l - 10 kW (Menegotti)</v>
          </cell>
        </row>
        <row r="28">
          <cell r="A28" t="str">
            <v>DNIT –</v>
          </cell>
          <cell r="B28" t="str">
            <v>E9521</v>
          </cell>
          <cell r="C28" t="str">
            <v>Grupo gerador - 2,5/3 kVA (X 3000 - Pramac)</v>
          </cell>
        </row>
        <row r="29">
          <cell r="A29" t="str">
            <v>DNIT –</v>
          </cell>
          <cell r="B29" t="str">
            <v>E9524</v>
          </cell>
          <cell r="C29" t="str">
            <v>Motoniveladora - 93 kW (120K - Caterpillar)</v>
          </cell>
        </row>
        <row r="30">
          <cell r="A30" t="str">
            <v>DNIT –</v>
          </cell>
          <cell r="B30" t="str">
            <v>E9526</v>
          </cell>
          <cell r="C30" t="str">
            <v>Retroescavadeira de pneus - 58 kW (416E - Caterpillar)</v>
          </cell>
        </row>
        <row r="31">
          <cell r="A31" t="str">
            <v>DNIT –</v>
          </cell>
          <cell r="B31" t="str">
            <v>E9527</v>
          </cell>
          <cell r="C31" t="str">
            <v>Martelete perfurador/rompedor a ar comprimido de 25 kg (RH 658LS - Atlas Copco)</v>
          </cell>
        </row>
        <row r="32">
          <cell r="A32" t="str">
            <v>DNIT –</v>
          </cell>
          <cell r="B32" t="str">
            <v>E9530</v>
          </cell>
          <cell r="C32" t="str">
            <v>Rolo compactador liso autopropelido vibratório de 11 t - 97 kW</v>
          </cell>
        </row>
        <row r="33">
          <cell r="A33" t="str">
            <v>DNIT –</v>
          </cell>
          <cell r="B33" t="str">
            <v>E9531</v>
          </cell>
          <cell r="C33" t="str">
            <v>Equipamento de sondagem a percussão com motobomba - 2,5 kW</v>
          </cell>
        </row>
        <row r="34">
          <cell r="A34" t="str">
            <v>DNIT –</v>
          </cell>
          <cell r="B34" t="str">
            <v>E9533</v>
          </cell>
          <cell r="C34" t="str">
            <v>Sonda rotativa com motor, bombas, mastro e cabeçote - 20 kW</v>
          </cell>
        </row>
        <row r="35">
          <cell r="A35" t="str">
            <v>DNIT –</v>
          </cell>
          <cell r="B35" t="str">
            <v>E9535</v>
          </cell>
          <cell r="C35" t="str">
            <v>Serra circular com bancada - D = 30 cm - 4 kW (SCCC - Maksiwa)</v>
          </cell>
        </row>
        <row r="36">
          <cell r="A36" t="str">
            <v>DNIT –</v>
          </cell>
          <cell r="B36" t="str">
            <v>E9537</v>
          </cell>
          <cell r="C36" t="str">
            <v>Carregadeira de pneus com capacidade de 1,72 m³ - 113 kW (W20E - Case Construction)</v>
          </cell>
        </row>
        <row r="37">
          <cell r="A37" t="str">
            <v>DNIT –</v>
          </cell>
          <cell r="B37" t="str">
            <v>E9540</v>
          </cell>
          <cell r="C37" t="str">
            <v>Trator de esteiras com lâmina - 112 kW (D6N - Caterpillar)</v>
          </cell>
        </row>
        <row r="38">
          <cell r="A38" t="str">
            <v>DNIT –</v>
          </cell>
          <cell r="B38" t="str">
            <v>E9541</v>
          </cell>
          <cell r="C38" t="str">
            <v>Trator de esteiras com lâmina - 259 kW (D8T - Caterpillar)</v>
          </cell>
        </row>
        <row r="39">
          <cell r="A39" t="str">
            <v>DNIT –</v>
          </cell>
          <cell r="B39" t="str">
            <v>E9547</v>
          </cell>
          <cell r="C39" t="str">
            <v>Máquina para solda elétrica - 9,2 kW (Bantam 250 - Esab)</v>
          </cell>
        </row>
        <row r="40">
          <cell r="A40" t="str">
            <v>DNIT –</v>
          </cell>
          <cell r="B40" t="str">
            <v>E9568</v>
          </cell>
          <cell r="C40" t="str">
            <v>Furadeira de impacto de 12,5 mm - 0,8 kW</v>
          </cell>
        </row>
        <row r="41">
          <cell r="A41" t="str">
            <v>DNIT –</v>
          </cell>
          <cell r="B41" t="str">
            <v>E9571</v>
          </cell>
          <cell r="C41" t="str">
            <v>Caminhão tanque com capacidade de 10.000 l - 188 kW (Atego 2426 - Mercedes-Benz)</v>
          </cell>
        </row>
        <row r="42">
          <cell r="B42" t="str">
            <v>A9311</v>
          </cell>
          <cell r="C42" t="str">
            <v>Caminhão plataforma 6 x 2, PBT 24.100 kg e distância entre eixos 4,8 m - 188 kW - Motorista de caminhão</v>
          </cell>
        </row>
        <row r="43">
          <cell r="B43" t="str">
            <v>A9360</v>
          </cell>
          <cell r="C43" t="str">
            <v>Tanque para transporte de água com capacidade de 10.000 l</v>
          </cell>
        </row>
        <row r="44">
          <cell r="A44" t="str">
            <v>DNIT –</v>
          </cell>
          <cell r="B44" t="str">
            <v>E9574</v>
          </cell>
          <cell r="C44" t="str">
            <v>Perfuratriz sobre esteiras - 145 kW (Power Roc T35 - Atlas Copco)</v>
          </cell>
        </row>
        <row r="45">
          <cell r="A45" t="str">
            <v>DNIT –</v>
          </cell>
          <cell r="B45" t="str">
            <v>E9576</v>
          </cell>
          <cell r="C45" t="str">
            <v>Escavadeira hidráulica de longo alcance sobre esteiras - 103 kW (320 DL - Caterpillar)</v>
          </cell>
        </row>
        <row r="46">
          <cell r="A46" t="str">
            <v>DNIT –</v>
          </cell>
          <cell r="B46" t="str">
            <v>E9577</v>
          </cell>
          <cell r="C46" t="str">
            <v>Trator agrícola - 77 kW (MF 4292 - Massey Ferguson)</v>
          </cell>
        </row>
        <row r="47">
          <cell r="A47" t="str">
            <v>DNIT –</v>
          </cell>
          <cell r="B47" t="str">
            <v>E9579</v>
          </cell>
          <cell r="C47" t="str">
            <v>Caminhão basculante com capacidade de 10 m³ - 188 kW (Atron 2729  - Mercedes-Benz)</v>
          </cell>
        </row>
        <row r="48">
          <cell r="B48" t="str">
            <v>A9316</v>
          </cell>
          <cell r="C48" t="str">
            <v>Caminhão plataforma 8 x 2, PBT 29.000 kg e distância entre eixos 4,8 m - 188 kW - Motorista de caminhão</v>
          </cell>
        </row>
        <row r="49">
          <cell r="B49" t="str">
            <v>A9342</v>
          </cell>
          <cell r="C49" t="str">
            <v>Caçamba basculante com capacidade de 10 m³</v>
          </cell>
        </row>
        <row r="50">
          <cell r="A50" t="str">
            <v>DNIT –</v>
          </cell>
          <cell r="B50" t="str">
            <v>E9592</v>
          </cell>
          <cell r="C50" t="str">
            <v>Caminhão carroceria com capacidade de 15 t - 188 kW (Atego 2426 - Mercedes-Benz)</v>
          </cell>
        </row>
        <row r="51">
          <cell r="B51" t="str">
            <v>A9314</v>
          </cell>
          <cell r="C51" t="str">
            <v>Caminhão plataforma 6 x 2, PBT 24.100 kg e distância entre eixos 5,4 m - 188 kW - Motorista de caminhão</v>
          </cell>
        </row>
        <row r="52">
          <cell r="B52" t="str">
            <v>A9352</v>
          </cell>
          <cell r="C52" t="str">
            <v>Carroceria de madeira com capacidade de 15 t</v>
          </cell>
        </row>
        <row r="53">
          <cell r="A53" t="str">
            <v>DNIT –</v>
          </cell>
          <cell r="B53" t="str">
            <v>E9622</v>
          </cell>
          <cell r="C53" t="str">
            <v>Máquina de bancada universal para corte de chapa - 1,5 Kw</v>
          </cell>
        </row>
        <row r="54">
          <cell r="A54" t="str">
            <v>DNIT –</v>
          </cell>
          <cell r="B54" t="str">
            <v>E9623</v>
          </cell>
          <cell r="C54" t="str">
            <v>Máquina de Bancada - guilhotina (4 kW)</v>
          </cell>
        </row>
        <row r="55">
          <cell r="A55" t="str">
            <v>DNIT –</v>
          </cell>
          <cell r="B55" t="str">
            <v>E9647</v>
          </cell>
          <cell r="C55" t="str">
            <v>Compactador manual com soquete vibratório - 4,1 kW (CP-80 - Fortemac)</v>
          </cell>
        </row>
        <row r="56">
          <cell r="A56" t="str">
            <v>DNIT –</v>
          </cell>
          <cell r="B56" t="str">
            <v>E9666</v>
          </cell>
          <cell r="C56" t="str">
            <v>Cavalo mecânico com semi-reboque e capacidade de 30 t - 240 kW (Axor 2041 - Mercedes-Benz / Randon)</v>
          </cell>
        </row>
        <row r="57">
          <cell r="B57" t="str">
            <v>A9318</v>
          </cell>
          <cell r="C57" t="str">
            <v>Cavalo mecânico 4 x 2, PBT 16.000 kg - 240 kW - Motorista de veículo especial</v>
          </cell>
        </row>
        <row r="58">
          <cell r="B58" t="str">
            <v>A9354</v>
          </cell>
          <cell r="C58" t="str">
            <v>Semi-Reboque com 3 eixos</v>
          </cell>
        </row>
        <row r="59">
          <cell r="A59" t="str">
            <v>DNIT –</v>
          </cell>
          <cell r="B59" t="str">
            <v>E9667</v>
          </cell>
          <cell r="C59" t="str">
            <v>Caminhão basculante com capacidade de 14 m³ - 323 kW</v>
          </cell>
        </row>
        <row r="60">
          <cell r="B60" t="str">
            <v>A9323</v>
          </cell>
          <cell r="C60" t="str">
            <v>Caminhão basc. fora de estrada 6x4, PBT 31.500kg, distância entre eixos 3,6m - 323 kW - Motorista de caminhão</v>
          </cell>
        </row>
        <row r="61">
          <cell r="B61" t="str">
            <v>A9344</v>
          </cell>
          <cell r="C61" t="str">
            <v>Caçamba basculante com capacidade de 14 m³</v>
          </cell>
        </row>
        <row r="62">
          <cell r="A62" t="str">
            <v>DNIT –</v>
          </cell>
          <cell r="B62" t="str">
            <v>E9684</v>
          </cell>
          <cell r="C62" t="str">
            <v>Veículo leve Pick Up 4 x 4 - 147 kW (S10 - Chevrolet 4 x 4 - Cabine Dupla)</v>
          </cell>
        </row>
        <row r="63">
          <cell r="A63" t="str">
            <v>DNIT –</v>
          </cell>
          <cell r="B63" t="str">
            <v>E9685</v>
          </cell>
          <cell r="C63" t="str">
            <v>Rolo compactador pé de carneiro vibratório autopropelido de 11,6 t - 82 kW (CA 250 D - Dynapac)</v>
          </cell>
        </row>
        <row r="64">
          <cell r="A64" t="str">
            <v>DNIT –</v>
          </cell>
          <cell r="B64" t="str">
            <v>E9686</v>
          </cell>
          <cell r="C64" t="str">
            <v>Caminhão carroceria com guindauto com capacidade de 20 t.m - 136 kW</v>
          </cell>
        </row>
        <row r="65">
          <cell r="B65" t="str">
            <v>A9308</v>
          </cell>
          <cell r="C65" t="str">
            <v>Caminhão plataforma 4 x 2, PBT 17.100 kg e distância entre eixos 4,8 m - 136 kW - Motorista de veículo especial</v>
          </cell>
        </row>
        <row r="66">
          <cell r="B66" t="str">
            <v>A9372</v>
          </cell>
          <cell r="C66" t="str">
            <v>Guindaste articulado montado sobre chassi com capacidade de 20 t.m</v>
          </cell>
        </row>
        <row r="67">
          <cell r="B67" t="str">
            <v>A9349</v>
          </cell>
          <cell r="C67" t="str">
            <v>Carroceria de madeira com capacidade de 7 t</v>
          </cell>
        </row>
        <row r="68">
          <cell r="A68" t="str">
            <v>DNIT –</v>
          </cell>
          <cell r="B68" t="str">
            <v>E9687</v>
          </cell>
          <cell r="C68" t="str">
            <v>Caminhão carroceria com capacidade de 5 t - 115 Kw (Accelo 815 - Mercedes-Benz</v>
          </cell>
        </row>
        <row r="69">
          <cell r="B69" t="str">
            <v>A9303</v>
          </cell>
          <cell r="C69" t="str">
            <v>Caminhão plataforma 4 x 2, PBT 9.600 kg e distância entre eixos 3,7 m - 115 kW - Motorista de veículo especial</v>
          </cell>
        </row>
        <row r="70">
          <cell r="B70" t="str">
            <v>A9348</v>
          </cell>
          <cell r="C70" t="str">
            <v>Carroceria de madeira com capacidade de 5 t</v>
          </cell>
        </row>
        <row r="71">
          <cell r="A71" t="str">
            <v>DNIT –</v>
          </cell>
          <cell r="B71" t="str">
            <v>E9762</v>
          </cell>
          <cell r="C71" t="str">
            <v>Rolo compactador de pneus autopropelido de 27 t - 85 kW</v>
          </cell>
        </row>
        <row r="73">
          <cell r="C73" t="str">
            <v>Mão de obra (COM DESONERAÇÃO)</v>
          </cell>
        </row>
        <row r="74">
          <cell r="A74" t="str">
            <v>DNIT –</v>
          </cell>
          <cell r="B74" t="str">
            <v>P9801</v>
          </cell>
          <cell r="C74" t="str">
            <v>Ajudante</v>
          </cell>
        </row>
        <row r="76">
          <cell r="A76" t="str">
            <v>DNIT –</v>
          </cell>
          <cell r="B76" t="str">
            <v>P9804</v>
          </cell>
          <cell r="C76" t="str">
            <v>Apontador</v>
          </cell>
        </row>
        <row r="77">
          <cell r="A77" t="str">
            <v>DNIT –</v>
          </cell>
          <cell r="B77" t="str">
            <v>P9805</v>
          </cell>
          <cell r="C77" t="str">
            <v>Armador</v>
          </cell>
        </row>
        <row r="78">
          <cell r="A78" t="str">
            <v>DNIT –</v>
          </cell>
          <cell r="B78" t="str">
            <v>P9806</v>
          </cell>
          <cell r="C78" t="str">
            <v>Auxiliar administrativo</v>
          </cell>
        </row>
        <row r="79">
          <cell r="A79" t="str">
            <v>DNIT –</v>
          </cell>
          <cell r="B79" t="str">
            <v>P9808</v>
          </cell>
          <cell r="C79" t="str">
            <v>Carpinteiro</v>
          </cell>
        </row>
        <row r="81">
          <cell r="A81" t="str">
            <v>DNIT –</v>
          </cell>
          <cell r="B81" t="str">
            <v>P9821</v>
          </cell>
          <cell r="C81" t="str">
            <v>Pedreiro</v>
          </cell>
        </row>
        <row r="82">
          <cell r="A82" t="str">
            <v>DNIT –</v>
          </cell>
          <cell r="B82" t="str">
            <v>P9822</v>
          </cell>
          <cell r="C82" t="str">
            <v>Pintor</v>
          </cell>
        </row>
        <row r="83">
          <cell r="A83" t="str">
            <v>DNIT –</v>
          </cell>
          <cell r="B83" t="str">
            <v>P9823</v>
          </cell>
          <cell r="C83" t="str">
            <v>Serralheiro</v>
          </cell>
        </row>
        <row r="84">
          <cell r="A84" t="str">
            <v>DNIT –</v>
          </cell>
          <cell r="B84" t="str">
            <v>P9824</v>
          </cell>
          <cell r="C84" t="str">
            <v>Servente</v>
          </cell>
        </row>
        <row r="85">
          <cell r="A85" t="str">
            <v>DNIT –</v>
          </cell>
          <cell r="B85" t="str">
            <v>P9825</v>
          </cell>
          <cell r="C85" t="str">
            <v>Soldador</v>
          </cell>
        </row>
        <row r="86">
          <cell r="A86" t="str">
            <v>DNIT –</v>
          </cell>
          <cell r="B86" t="str">
            <v>P9830</v>
          </cell>
          <cell r="C86" t="str">
            <v>Montador</v>
          </cell>
        </row>
        <row r="87">
          <cell r="A87" t="str">
            <v>DNIT –</v>
          </cell>
          <cell r="B87" t="str">
            <v>P9843</v>
          </cell>
          <cell r="C87" t="str">
            <v>Operador de equipamento leve</v>
          </cell>
          <cell r="E87">
            <v>19.903300000000002</v>
          </cell>
        </row>
        <row r="88">
          <cell r="A88" t="str">
            <v>DNIT –</v>
          </cell>
          <cell r="B88" t="str">
            <v>P9845</v>
          </cell>
          <cell r="C88" t="str">
            <v>Operador de equipamento pesado</v>
          </cell>
          <cell r="E88">
            <v>26.764600000000002</v>
          </cell>
        </row>
        <row r="89">
          <cell r="A89" t="str">
            <v>DNIT –</v>
          </cell>
          <cell r="B89" t="str">
            <v>P9846</v>
          </cell>
          <cell r="C89" t="str">
            <v xml:space="preserve">Operador de equipamento especial </v>
          </cell>
        </row>
        <row r="90">
          <cell r="A90" t="str">
            <v>DNIT –</v>
          </cell>
          <cell r="B90" t="str">
            <v>P9852</v>
          </cell>
          <cell r="C90" t="str">
            <v>Blaster</v>
          </cell>
        </row>
        <row r="91">
          <cell r="B91" t="str">
            <v>P9866</v>
          </cell>
          <cell r="C91" t="str">
            <v>Motorista de caminhão</v>
          </cell>
          <cell r="E91">
            <v>24.1953</v>
          </cell>
        </row>
        <row r="92">
          <cell r="B92" t="str">
            <v>P9870</v>
          </cell>
          <cell r="C92" t="str">
            <v>Motorista de veículo leve</v>
          </cell>
          <cell r="E92">
            <v>21.675799999999999</v>
          </cell>
        </row>
        <row r="93">
          <cell r="B93" t="str">
            <v>P9871</v>
          </cell>
          <cell r="C93" t="str">
            <v>Motorista de veículo especial</v>
          </cell>
          <cell r="E93">
            <v>28.2547</v>
          </cell>
        </row>
        <row r="94">
          <cell r="A94" t="str">
            <v>DNIT –</v>
          </cell>
          <cell r="B94" t="str">
            <v>P9875</v>
          </cell>
          <cell r="C94" t="str">
            <v>Encarregado de turma</v>
          </cell>
        </row>
        <row r="97">
          <cell r="E97">
            <v>0.84040000000000004</v>
          </cell>
        </row>
        <row r="98">
          <cell r="E98">
            <v>0.2</v>
          </cell>
        </row>
        <row r="99">
          <cell r="E99">
            <v>0.3</v>
          </cell>
        </row>
        <row r="100">
          <cell r="E100">
            <v>0.12</v>
          </cell>
        </row>
        <row r="101">
          <cell r="E101">
            <v>0.1396</v>
          </cell>
        </row>
        <row r="105">
          <cell r="A105" t="str">
            <v>DNIT –</v>
          </cell>
          <cell r="B105" t="str">
            <v>NS - P1</v>
          </cell>
          <cell r="C105" t="str">
            <v>Engenheiro / Profissional Sênior</v>
          </cell>
        </row>
        <row r="106">
          <cell r="A106" t="str">
            <v>DNIT –</v>
          </cell>
          <cell r="B106" t="str">
            <v>NS - P2</v>
          </cell>
          <cell r="C106" t="str">
            <v>Engenheiro / Profissional Pleno</v>
          </cell>
        </row>
        <row r="108">
          <cell r="A108" t="str">
            <v>DNIT –</v>
          </cell>
          <cell r="B108" t="str">
            <v>NT - T2</v>
          </cell>
          <cell r="C108" t="str">
            <v>Técnico Pleno (Topógrafo / Desenhista Projetista)</v>
          </cell>
        </row>
        <row r="109">
          <cell r="A109" t="str">
            <v>DNIT –</v>
          </cell>
          <cell r="B109" t="str">
            <v>NT - T4</v>
          </cell>
          <cell r="C109" t="str">
            <v>Técnico Auxiliar</v>
          </cell>
        </row>
        <row r="112">
          <cell r="A112" t="str">
            <v>DNIT –</v>
          </cell>
          <cell r="B112" t="str">
            <v>Veículos</v>
          </cell>
          <cell r="C112" t="str">
            <v>Sedan - 71 a 115 cv</v>
          </cell>
          <cell r="D112" t="str">
            <v>mês</v>
          </cell>
        </row>
        <row r="113">
          <cell r="A113" t="str">
            <v>DNIT –</v>
          </cell>
          <cell r="B113" t="str">
            <v>Veículos</v>
          </cell>
          <cell r="C113" t="str">
            <v>Caminhonete -  71 a 115 CV</v>
          </cell>
          <cell r="D113" t="str">
            <v>mês</v>
          </cell>
        </row>
        <row r="114">
          <cell r="A114" t="str">
            <v>DNIT –</v>
          </cell>
          <cell r="B114" t="str">
            <v>Veículos</v>
          </cell>
          <cell r="C114" t="str">
            <v>Caminhonete -  140 a 165 cv</v>
          </cell>
          <cell r="D114" t="str">
            <v>mês</v>
          </cell>
        </row>
        <row r="118">
          <cell r="A118" t="str">
            <v>DNIT –</v>
          </cell>
          <cell r="B118" t="str">
            <v>Imóveis</v>
          </cell>
          <cell r="C118" t="str">
            <v>Imóveis / Alojamento para pessoal</v>
          </cell>
          <cell r="D118" t="str">
            <v>mês</v>
          </cell>
        </row>
        <row r="122">
          <cell r="E122">
            <v>4.0591999999999997</v>
          </cell>
        </row>
        <row r="129">
          <cell r="A129" t="str">
            <v>DNIT –</v>
          </cell>
          <cell r="B129" t="str">
            <v>M0217</v>
          </cell>
          <cell r="C129" t="str">
            <v>Enxofre</v>
          </cell>
          <cell r="D129" t="str">
            <v>kg</v>
          </cell>
        </row>
        <row r="130">
          <cell r="A130" t="str">
            <v>DNIT –</v>
          </cell>
          <cell r="B130" t="str">
            <v>M0218</v>
          </cell>
          <cell r="C130" t="str">
            <v>Adubo fósforo (30%)</v>
          </cell>
          <cell r="D130" t="str">
            <v>kg</v>
          </cell>
        </row>
        <row r="131">
          <cell r="A131" t="str">
            <v>DNIT –</v>
          </cell>
          <cell r="B131" t="str">
            <v>M0219</v>
          </cell>
          <cell r="C131" t="str">
            <v>Adubo potássio</v>
          </cell>
          <cell r="D131" t="str">
            <v>kg</v>
          </cell>
        </row>
        <row r="132">
          <cell r="A132" t="str">
            <v>DNIT –</v>
          </cell>
          <cell r="B132" t="str">
            <v>M0220</v>
          </cell>
          <cell r="C132" t="str">
            <v>Adubo NPK</v>
          </cell>
          <cell r="D132" t="str">
            <v>kg</v>
          </cell>
        </row>
        <row r="133">
          <cell r="A133" t="str">
            <v>DNIT –</v>
          </cell>
          <cell r="B133" t="str">
            <v>M0223</v>
          </cell>
          <cell r="C133" t="str">
            <v>Sementes para hidrossemeadura</v>
          </cell>
          <cell r="D133" t="str">
            <v>kg</v>
          </cell>
        </row>
        <row r="134">
          <cell r="A134" t="str">
            <v>DNIT –</v>
          </cell>
          <cell r="B134" t="str">
            <v>M0225</v>
          </cell>
          <cell r="C134" t="str">
            <v>Adubo orgânico</v>
          </cell>
          <cell r="D134" t="str">
            <v>kg</v>
          </cell>
        </row>
        <row r="135">
          <cell r="E135">
            <v>0.92110000000000003</v>
          </cell>
        </row>
        <row r="147">
          <cell r="A147" t="str">
            <v>DNIT –</v>
          </cell>
          <cell r="B147" t="str">
            <v>M1205</v>
          </cell>
          <cell r="C147" t="str">
            <v>Pregos de ferro</v>
          </cell>
          <cell r="D147" t="str">
            <v>kg</v>
          </cell>
        </row>
        <row r="152">
          <cell r="A152" t="str">
            <v>DNIT –</v>
          </cell>
          <cell r="B152" t="str">
            <v>M1755</v>
          </cell>
          <cell r="C152" t="str">
            <v>Pó Calcário</v>
          </cell>
          <cell r="D152" t="str">
            <v>kg</v>
          </cell>
        </row>
        <row r="169">
          <cell r="A169" t="str">
            <v>DNIT –</v>
          </cell>
          <cell r="B169" t="str">
            <v>M2167</v>
          </cell>
          <cell r="C169" t="str">
            <v>Tubo de concreto armado PA 1 - D = 0,60 m</v>
          </cell>
          <cell r="D169" t="str">
            <v>m</v>
          </cell>
        </row>
        <row r="171">
          <cell r="A171" t="str">
            <v>DNIT –</v>
          </cell>
          <cell r="B171" t="str">
            <v>M2175</v>
          </cell>
          <cell r="C171" t="str">
            <v>Tubo de concreto armado PA 1 - D = 1,00 m</v>
          </cell>
          <cell r="D171" t="str">
            <v>m</v>
          </cell>
        </row>
        <row r="180">
          <cell r="A180" t="str">
            <v>SINAPI –</v>
          </cell>
          <cell r="B180" t="str">
            <v>00003989</v>
          </cell>
          <cell r="C180" t="str">
            <v>Madeira serrada aparelhada de maçaranduba, angelim ou equivalente da região</v>
          </cell>
          <cell r="D180" t="str">
            <v>m³</v>
          </cell>
        </row>
        <row r="182">
          <cell r="A182" t="str">
            <v>SINAPI –</v>
          </cell>
          <cell r="B182" t="str">
            <v>00004343</v>
          </cell>
          <cell r="C182" t="str">
            <v>Parafuso francês zincado, diâmetro 1/2", comprimento 4", com porca e arruela lisa média</v>
          </cell>
        </row>
        <row r="183">
          <cell r="D183" t="str">
            <v>kg</v>
          </cell>
        </row>
        <row r="184">
          <cell r="A184" t="str">
            <v>SINAPI –</v>
          </cell>
          <cell r="B184" t="str">
            <v>00004417</v>
          </cell>
          <cell r="C184" t="str">
            <v>Sarrafo de madeira não aparelhada *2,5 x 7* cm, maçaranduba, angelin ou equivalente da região</v>
          </cell>
          <cell r="D184" t="str">
            <v>m</v>
          </cell>
        </row>
        <row r="186">
          <cell r="A186" t="str">
            <v>SINAPI –</v>
          </cell>
          <cell r="B186" t="str">
            <v>00004491</v>
          </cell>
          <cell r="C186" t="str">
            <v>Peça de madeira nativa / regional *7,5 x 7,5* cm (3x3") não aparelhada (p/ forma)</v>
          </cell>
          <cell r="D186" t="str">
            <v>m</v>
          </cell>
        </row>
        <row r="187">
          <cell r="A187" t="str">
            <v>SINAPI –</v>
          </cell>
          <cell r="B187" t="str">
            <v>00004813</v>
          </cell>
          <cell r="C187" t="str">
            <v>Placa de obra (para construção civil) em chapa galvanizada *nº 22*, de *2,0 x 1,125* m</v>
          </cell>
          <cell r="D187" t="str">
            <v>m²</v>
          </cell>
        </row>
        <row r="189">
          <cell r="A189" t="str">
            <v>SINAPI –</v>
          </cell>
          <cell r="B189" t="str">
            <v>00005075</v>
          </cell>
          <cell r="C189" t="str">
            <v>Prego de aço polido com cabeça 18 x 30 (2.3/4" x 10")</v>
          </cell>
          <cell r="D189" t="str">
            <v>kg</v>
          </cell>
        </row>
        <row r="203">
          <cell r="C203" t="str">
            <v>Tabela de Preços de Consultoria do DNIT - Instrução de Serviço nº 03, 07/03/2012 (última atualização: 11/07/2019)</v>
          </cell>
        </row>
      </sheetData>
      <sheetData sheetId="2" refreshError="1">
        <row r="6">
          <cell r="L6">
            <v>4.5830000000000003E-2</v>
          </cell>
        </row>
        <row r="10">
          <cell r="F10">
            <v>0.25</v>
          </cell>
        </row>
        <row r="11">
          <cell r="F11">
            <v>1.5</v>
          </cell>
        </row>
        <row r="21">
          <cell r="H21">
            <v>0.75</v>
          </cell>
        </row>
        <row r="34">
          <cell r="H34">
            <v>0.95</v>
          </cell>
        </row>
      </sheetData>
      <sheetData sheetId="3" refreshError="1"/>
      <sheetData sheetId="4" refreshError="1">
        <row r="36">
          <cell r="E36">
            <v>10000</v>
          </cell>
        </row>
      </sheetData>
      <sheetData sheetId="5" refreshError="1">
        <row r="27">
          <cell r="C27" t="str">
            <v>Estradas internas ao PA Manoel Crescêncio de Souza</v>
          </cell>
          <cell r="J27" t="str">
            <v>Prefeitura Municipal de Aurora do Pará</v>
          </cell>
        </row>
        <row r="28">
          <cell r="C28" t="str">
            <v>PA Manoel Crescêncio de Souza</v>
          </cell>
          <cell r="P28">
            <v>13.1</v>
          </cell>
        </row>
        <row r="107">
          <cell r="I107">
            <v>0</v>
          </cell>
          <cell r="J107">
            <v>0</v>
          </cell>
        </row>
        <row r="108">
          <cell r="I108">
            <v>160</v>
          </cell>
          <cell r="J108">
            <v>40</v>
          </cell>
        </row>
        <row r="109">
          <cell r="I109">
            <v>0</v>
          </cell>
          <cell r="J109">
            <v>0</v>
          </cell>
        </row>
        <row r="110">
          <cell r="I110">
            <v>90</v>
          </cell>
          <cell r="J110">
            <v>20</v>
          </cell>
        </row>
        <row r="111">
          <cell r="I111">
            <v>0</v>
          </cell>
          <cell r="J111">
            <v>0</v>
          </cell>
          <cell r="N111">
            <v>6184.78</v>
          </cell>
        </row>
        <row r="112">
          <cell r="I112">
            <v>0</v>
          </cell>
          <cell r="J112">
            <v>0</v>
          </cell>
          <cell r="N112">
            <v>0</v>
          </cell>
        </row>
        <row r="113">
          <cell r="I113">
            <v>0</v>
          </cell>
          <cell r="J113">
            <v>0</v>
          </cell>
          <cell r="N113">
            <v>45693</v>
          </cell>
        </row>
        <row r="114">
          <cell r="I114">
            <v>8</v>
          </cell>
          <cell r="J114">
            <v>2</v>
          </cell>
          <cell r="N114">
            <v>0</v>
          </cell>
        </row>
        <row r="115">
          <cell r="I115">
            <v>0</v>
          </cell>
          <cell r="J115">
            <v>0</v>
          </cell>
          <cell r="N115">
            <v>0</v>
          </cell>
        </row>
        <row r="116">
          <cell r="I116">
            <v>18</v>
          </cell>
          <cell r="J116">
            <v>4</v>
          </cell>
          <cell r="N116">
            <v>0</v>
          </cell>
        </row>
        <row r="117">
          <cell r="I117">
            <v>0</v>
          </cell>
          <cell r="J117">
            <v>0</v>
          </cell>
          <cell r="N117">
            <v>0</v>
          </cell>
        </row>
        <row r="118">
          <cell r="I118">
            <v>0</v>
          </cell>
          <cell r="J118">
            <v>0</v>
          </cell>
          <cell r="N118">
            <v>0</v>
          </cell>
        </row>
        <row r="119">
          <cell r="I119">
            <v>0</v>
          </cell>
          <cell r="J119">
            <v>0</v>
          </cell>
          <cell r="N119">
            <v>0</v>
          </cell>
        </row>
        <row r="120">
          <cell r="I120">
            <v>0</v>
          </cell>
          <cell r="J120">
            <v>0</v>
          </cell>
          <cell r="N120">
            <v>0</v>
          </cell>
        </row>
        <row r="121">
          <cell r="I121">
            <v>0</v>
          </cell>
          <cell r="J121">
            <v>0</v>
          </cell>
        </row>
        <row r="122">
          <cell r="E122">
            <v>9</v>
          </cell>
          <cell r="I122">
            <v>0</v>
          </cell>
          <cell r="J122">
            <v>0</v>
          </cell>
          <cell r="N122">
            <v>0</v>
          </cell>
        </row>
        <row r="123">
          <cell r="E123">
            <v>3</v>
          </cell>
          <cell r="I123">
            <v>0</v>
          </cell>
          <cell r="J123">
            <v>0</v>
          </cell>
        </row>
        <row r="124">
          <cell r="E124">
            <v>0</v>
          </cell>
          <cell r="I124">
            <v>0</v>
          </cell>
          <cell r="J124">
            <v>0</v>
          </cell>
        </row>
        <row r="125">
          <cell r="I125">
            <v>0</v>
          </cell>
        </row>
        <row r="126">
          <cell r="I126">
            <v>38</v>
          </cell>
        </row>
        <row r="127">
          <cell r="I127">
            <v>0</v>
          </cell>
        </row>
        <row r="128">
          <cell r="E128">
            <v>6.3</v>
          </cell>
          <cell r="I128">
            <v>0</v>
          </cell>
        </row>
        <row r="131">
          <cell r="L131">
            <v>4</v>
          </cell>
        </row>
        <row r="132">
          <cell r="J132">
            <v>2.5</v>
          </cell>
          <cell r="K132">
            <v>3</v>
          </cell>
          <cell r="L132">
            <v>1.5</v>
          </cell>
        </row>
        <row r="135">
          <cell r="E135">
            <v>6</v>
          </cell>
          <cell r="L135">
            <v>2</v>
          </cell>
        </row>
        <row r="136">
          <cell r="E136">
            <v>0.1</v>
          </cell>
          <cell r="J136">
            <v>10</v>
          </cell>
          <cell r="K136">
            <v>6</v>
          </cell>
          <cell r="L136">
            <v>0.5</v>
          </cell>
        </row>
        <row r="137">
          <cell r="E137">
            <v>1</v>
          </cell>
        </row>
        <row r="140">
          <cell r="E140">
            <v>200</v>
          </cell>
        </row>
      </sheetData>
      <sheetData sheetId="6" refreshError="1">
        <row r="4">
          <cell r="E4" t="str">
            <v>PROJETO BÁSICO DE ENGENHARIA</v>
          </cell>
        </row>
        <row r="9">
          <cell r="E9" t="str">
            <v>Construção / Recuperação e complementação de estradas vicinais</v>
          </cell>
        </row>
        <row r="16">
          <cell r="A16" t="str">
            <v>I</v>
          </cell>
          <cell r="B16" t="str">
            <v xml:space="preserve"> - SERVIÇOS PRELIMINARES, MOBILIZAÇÃO E INSTALAÇÃO DE CANTEIRO</v>
          </cell>
        </row>
        <row r="17">
          <cell r="B17" t="str">
            <v>1.1</v>
          </cell>
        </row>
        <row r="23">
          <cell r="A23" t="str">
            <v>II</v>
          </cell>
          <cell r="B23" t="str">
            <v xml:space="preserve"> - ELABORAÇÃO DE PROJETOS, ESTUDOS TÉCNICOS E TOPOGRAFIA</v>
          </cell>
        </row>
        <row r="24">
          <cell r="B24" t="str">
            <v>2.1</v>
          </cell>
        </row>
        <row r="39">
          <cell r="A39" t="str">
            <v>III</v>
          </cell>
          <cell r="B39" t="str">
            <v xml:space="preserve"> - ADMINISTRAÇÃO LOCAL E SEGURANÇA</v>
          </cell>
        </row>
        <row r="40">
          <cell r="B40" t="str">
            <v>3.1</v>
          </cell>
        </row>
        <row r="43">
          <cell r="A43" t="str">
            <v>IV</v>
          </cell>
          <cell r="B43" t="str">
            <v xml:space="preserve"> - DESMATAMENTO E LIMPEZA</v>
          </cell>
        </row>
        <row r="44">
          <cell r="B44" t="str">
            <v>4.1</v>
          </cell>
        </row>
        <row r="45">
          <cell r="B45" t="str">
            <v>4.2</v>
          </cell>
        </row>
        <row r="53">
          <cell r="A53" t="str">
            <v>V</v>
          </cell>
          <cell r="B53" t="str">
            <v xml:space="preserve"> - TERRAPLENAGEM</v>
          </cell>
        </row>
        <row r="54">
          <cell r="B54" t="str">
            <v>5.1</v>
          </cell>
        </row>
        <row r="55">
          <cell r="B55" t="str">
            <v>5.2</v>
          </cell>
        </row>
        <row r="82">
          <cell r="A82" t="str">
            <v>VI</v>
          </cell>
          <cell r="B82" t="str">
            <v xml:space="preserve"> - OBRAS DE ARTES CORRENTES</v>
          </cell>
        </row>
        <row r="105">
          <cell r="B105" t="str">
            <v>6.22</v>
          </cell>
        </row>
        <row r="109">
          <cell r="B109" t="str">
            <v>6.26</v>
          </cell>
        </row>
        <row r="126">
          <cell r="A126" t="str">
            <v>VII</v>
          </cell>
          <cell r="B126" t="str">
            <v xml:space="preserve"> - OBRAS DE ARTES ESPECIAIS, SINALIZAÇÕES E MATA BURRO</v>
          </cell>
        </row>
        <row r="127">
          <cell r="B127" t="str">
            <v>7.1</v>
          </cell>
        </row>
        <row r="128">
          <cell r="B128" t="str">
            <v>7.2</v>
          </cell>
        </row>
        <row r="145">
          <cell r="A145" t="str">
            <v>VIII</v>
          </cell>
          <cell r="B145" t="str">
            <v xml:space="preserve"> - REVESTIMENTO PRIMÁRIO</v>
          </cell>
        </row>
        <row r="146">
          <cell r="B146" t="str">
            <v>8.1</v>
          </cell>
        </row>
        <row r="147">
          <cell r="B147" t="str">
            <v>8.2</v>
          </cell>
        </row>
        <row r="156">
          <cell r="A156" t="str">
            <v>IX</v>
          </cell>
          <cell r="B156" t="str">
            <v xml:space="preserve"> - RECUPERAÇÃO AMBIENTAL DE ÁREA DE EMPRÉSTIMO</v>
          </cell>
        </row>
        <row r="157">
          <cell r="B157" t="str">
            <v>9.1</v>
          </cell>
        </row>
        <row r="158">
          <cell r="B158" t="str">
            <v>9.2</v>
          </cell>
        </row>
      </sheetData>
      <sheetData sheetId="7" refreshError="1">
        <row r="6">
          <cell r="E6">
            <v>120</v>
          </cell>
        </row>
      </sheetData>
      <sheetData sheetId="8" refreshError="1">
        <row r="10">
          <cell r="B10" t="str">
            <v>E9010</v>
          </cell>
          <cell r="S10">
            <v>1.1704000000000001</v>
          </cell>
        </row>
        <row r="11">
          <cell r="B11" t="str">
            <v>E9064</v>
          </cell>
          <cell r="S11">
            <v>0.89190000000000003</v>
          </cell>
        </row>
        <row r="12">
          <cell r="B12" t="str">
            <v>E9066</v>
          </cell>
          <cell r="S12">
            <v>10.214399999999999</v>
          </cell>
        </row>
        <row r="13">
          <cell r="B13" t="str">
            <v>E9069</v>
          </cell>
          <cell r="S13">
            <v>4.1256000000000004</v>
          </cell>
        </row>
        <row r="14">
          <cell r="B14" t="str">
            <v>E9071</v>
          </cell>
          <cell r="S14">
            <v>0.34910000000000002</v>
          </cell>
        </row>
        <row r="15">
          <cell r="A15" t="str">
            <v>DNIT –</v>
          </cell>
          <cell r="B15" t="str">
            <v>E9076</v>
          </cell>
          <cell r="C15" t="str">
            <v>Equipamento de pintura com cabine de 7,00 kW e estufa de 80.000 kCal para pintura eletrostática</v>
          </cell>
          <cell r="S15">
            <v>34.744</v>
          </cell>
        </row>
        <row r="16">
          <cell r="A16" t="str">
            <v>DNIT –</v>
          </cell>
          <cell r="B16" t="str">
            <v>E9502</v>
          </cell>
          <cell r="C16" t="str">
            <v>Bate-estaca de gravidade para 3,5 a 4,0 t - 119 Kw</v>
          </cell>
          <cell r="S16">
            <v>208.65170000000001</v>
          </cell>
          <cell r="T16">
            <v>98.188400000000001</v>
          </cell>
        </row>
        <row r="17">
          <cell r="B17" t="str">
            <v>E9507</v>
          </cell>
          <cell r="S17">
            <v>9.8437000000000001</v>
          </cell>
        </row>
        <row r="18">
          <cell r="A18" t="str">
            <v>DNIT –</v>
          </cell>
          <cell r="B18" t="str">
            <v>E9508</v>
          </cell>
          <cell r="C18" t="str">
            <v>Caminhão carroceria com capacidade de 9 t - 136 kW (Atego 1419 - Mercedes-Benz)</v>
          </cell>
          <cell r="S18">
            <v>159.31229999999999</v>
          </cell>
          <cell r="T18">
            <v>52.926499999999997</v>
          </cell>
        </row>
        <row r="19">
          <cell r="B19" t="str">
            <v>A9309</v>
          </cell>
          <cell r="S19">
            <v>156.24780000000001</v>
          </cell>
        </row>
        <row r="20">
          <cell r="B20" t="str">
            <v>A9350</v>
          </cell>
          <cell r="S20">
            <v>3.0644999999999998</v>
          </cell>
        </row>
        <row r="21">
          <cell r="A21" t="str">
            <v>DNIT –</v>
          </cell>
          <cell r="B21" t="str">
            <v>E9511</v>
          </cell>
          <cell r="C21" t="str">
            <v>Carregadeira de pneus com capacidade de 3,30 m³ - 213 kW (950H - Caterpillar)</v>
          </cell>
          <cell r="S21">
            <v>314.404</v>
          </cell>
        </row>
        <row r="22">
          <cell r="A22" t="str">
            <v>DNIT –</v>
          </cell>
          <cell r="B22" t="str">
            <v>E9515</v>
          </cell>
          <cell r="C22" t="str">
            <v>Escavadeira hidráulica sobre esteira com caçamba com capacidade de 1,50 m³ - 110 kW (323 DL-Caterpillar)</v>
          </cell>
          <cell r="S22">
            <v>210.93819999999999</v>
          </cell>
          <cell r="T22">
            <v>93.686000000000007</v>
          </cell>
        </row>
        <row r="23">
          <cell r="B23" t="str">
            <v>E9517</v>
          </cell>
          <cell r="S23">
            <v>168.16759999999999</v>
          </cell>
        </row>
        <row r="24">
          <cell r="A24" t="str">
            <v>DNIT –</v>
          </cell>
          <cell r="B24" t="str">
            <v>E9518</v>
          </cell>
          <cell r="C24" t="str">
            <v>Grade de 24 discos rebocável de 24" (GAM 24 x 24" - Marchesan)</v>
          </cell>
          <cell r="S24">
            <v>2.8195000000000001</v>
          </cell>
          <cell r="T24">
            <v>1.9599</v>
          </cell>
        </row>
        <row r="25">
          <cell r="B25" t="str">
            <v>E9519</v>
          </cell>
          <cell r="S25">
            <v>31.338899999999999</v>
          </cell>
        </row>
        <row r="26">
          <cell r="B26" t="str">
            <v>E9521</v>
          </cell>
          <cell r="S26">
            <v>2.1871999999999998</v>
          </cell>
        </row>
        <row r="27">
          <cell r="A27" t="str">
            <v>DNIT –</v>
          </cell>
          <cell r="B27" t="str">
            <v>E9524</v>
          </cell>
          <cell r="C27" t="str">
            <v>Motoniveladora - 93 kW (120K - Caterpillar)</v>
          </cell>
          <cell r="S27">
            <v>184.2696</v>
          </cell>
          <cell r="T27">
            <v>79.578100000000006</v>
          </cell>
        </row>
        <row r="28">
          <cell r="A28" t="str">
            <v>DNIT –</v>
          </cell>
          <cell r="B28" t="str">
            <v>E9526</v>
          </cell>
          <cell r="C28" t="str">
            <v>Retroescavadeira de pneus - 58 kW (416E - Caterpillar)</v>
          </cell>
          <cell r="S28">
            <v>105.61799999999999</v>
          </cell>
        </row>
        <row r="29">
          <cell r="B29" t="str">
            <v>E9527</v>
          </cell>
          <cell r="S29">
            <v>22.904199999999999</v>
          </cell>
        </row>
        <row r="30">
          <cell r="A30" t="str">
            <v>DNIT –</v>
          </cell>
          <cell r="B30" t="str">
            <v>E9530</v>
          </cell>
          <cell r="C30" t="str">
            <v>Rolo compactador liso autopropelido vibratório de 11 t - 97 kW</v>
          </cell>
          <cell r="S30">
            <v>147.9375</v>
          </cell>
        </row>
        <row r="31">
          <cell r="A31" t="str">
            <v>DNIT –</v>
          </cell>
          <cell r="B31" t="str">
            <v>E9531</v>
          </cell>
          <cell r="C31" t="str">
            <v>Equipamento de sondagem a percussão com motobomba - 2,5 kW</v>
          </cell>
          <cell r="S31">
            <v>24.302299999999999</v>
          </cell>
        </row>
        <row r="32">
          <cell r="A32" t="str">
            <v>DNIT –</v>
          </cell>
          <cell r="B32" t="str">
            <v>E9533</v>
          </cell>
          <cell r="C32" t="str">
            <v>Sonda rotativa com motor, bombas, mastro e cabeçote - 20 kW</v>
          </cell>
          <cell r="S32">
            <v>51.7361</v>
          </cell>
        </row>
        <row r="33">
          <cell r="B33" t="str">
            <v>E9535</v>
          </cell>
          <cell r="S33">
            <v>20.7239</v>
          </cell>
        </row>
        <row r="34">
          <cell r="A34" t="str">
            <v>DNIT –</v>
          </cell>
          <cell r="B34" t="str">
            <v>E9537</v>
          </cell>
          <cell r="C34" t="str">
            <v>Carregadeira de pneus com capacidade de 1,72 m³ - 113 kW (W20E - Case Construction)</v>
          </cell>
          <cell r="S34">
            <v>148.14930000000001</v>
          </cell>
          <cell r="T34">
            <v>57.7425</v>
          </cell>
        </row>
        <row r="35">
          <cell r="A35" t="str">
            <v>DNIT –</v>
          </cell>
          <cell r="B35" t="str">
            <v>E9540</v>
          </cell>
          <cell r="C35" t="str">
            <v>Trator de esteiras com lâmina - 112 kW (D6N - Caterpillar)</v>
          </cell>
          <cell r="S35">
            <v>199.35740000000001</v>
          </cell>
          <cell r="T35">
            <v>80.469300000000004</v>
          </cell>
        </row>
        <row r="36">
          <cell r="A36" t="str">
            <v>DNIT –</v>
          </cell>
          <cell r="B36" t="str">
            <v>E9541</v>
          </cell>
          <cell r="C36" t="str">
            <v>Trator de esteiras com lâmina - 259 kW (D8T - Caterpillar)</v>
          </cell>
          <cell r="S36">
            <v>461.08620000000002</v>
          </cell>
        </row>
        <row r="37">
          <cell r="B37" t="str">
            <v>E9547</v>
          </cell>
          <cell r="S37">
            <v>8.8300000000000003E-2</v>
          </cell>
        </row>
        <row r="38">
          <cell r="B38" t="str">
            <v>E9568</v>
          </cell>
          <cell r="S38">
            <v>0.17399999999999999</v>
          </cell>
        </row>
        <row r="39">
          <cell r="A39" t="str">
            <v>DNIT –</v>
          </cell>
          <cell r="B39" t="str">
            <v>E9571</v>
          </cell>
          <cell r="C39" t="str">
            <v>Caminhão tanque com capacidade de 10.000 l - 188 kW (Atego 2426 - Mercedes-Benz)</v>
          </cell>
          <cell r="S39">
            <v>204.17570000000001</v>
          </cell>
          <cell r="T39">
            <v>60.8142</v>
          </cell>
        </row>
        <row r="40">
          <cell r="B40" t="str">
            <v>A9311</v>
          </cell>
          <cell r="S40">
            <v>191.715</v>
          </cell>
        </row>
        <row r="41">
          <cell r="B41" t="str">
            <v>A9360</v>
          </cell>
          <cell r="S41">
            <v>12.460699999999999</v>
          </cell>
        </row>
        <row r="42">
          <cell r="A42" t="str">
            <v>DNIT –</v>
          </cell>
          <cell r="B42" t="str">
            <v>E9574</v>
          </cell>
          <cell r="C42" t="str">
            <v>Perfuratriz sobre esteiras - 145 kW (Power Roc T35 - Atlas Copco)</v>
          </cell>
          <cell r="S42">
            <v>506.5351</v>
          </cell>
        </row>
        <row r="43">
          <cell r="B43" t="str">
            <v>E9576</v>
          </cell>
          <cell r="S43">
            <v>192.221</v>
          </cell>
        </row>
        <row r="44">
          <cell r="A44" t="str">
            <v>DNIT –</v>
          </cell>
          <cell r="B44" t="str">
            <v>E9577</v>
          </cell>
          <cell r="C44" t="str">
            <v>Trator agrícola - 77 kW (MF 4292 - Massey Ferguson)</v>
          </cell>
          <cell r="S44">
            <v>89.639600000000002</v>
          </cell>
          <cell r="T44">
            <v>34.623800000000003</v>
          </cell>
        </row>
        <row r="45">
          <cell r="A45" t="str">
            <v>DNIT –</v>
          </cell>
          <cell r="B45" t="str">
            <v>E9579</v>
          </cell>
          <cell r="C45" t="str">
            <v>Caminhão basculante com capacidade de 10 m³ - 188 kW (Atron 2729  - Mercedes-Benz)</v>
          </cell>
          <cell r="S45">
            <v>192.23320000000001</v>
          </cell>
          <cell r="T45">
            <v>54.2408</v>
          </cell>
        </row>
        <row r="46">
          <cell r="B46" t="str">
            <v>A9316</v>
          </cell>
          <cell r="S46">
            <v>184.60640000000001</v>
          </cell>
        </row>
        <row r="47">
          <cell r="B47" t="str">
            <v>A9342</v>
          </cell>
          <cell r="S47">
            <v>7.6268000000000002</v>
          </cell>
        </row>
        <row r="48">
          <cell r="B48" t="str">
            <v>E9592</v>
          </cell>
          <cell r="C48" t="str">
            <v>Caminhão carroceria com capacidade de 15 t - 188 kW (Atego 2426 - Mercedes-Benz)</v>
          </cell>
          <cell r="S48">
            <v>195.7038</v>
          </cell>
          <cell r="T48">
            <v>56.065399999999997</v>
          </cell>
        </row>
        <row r="49">
          <cell r="B49" t="str">
            <v>A9314</v>
          </cell>
          <cell r="S49">
            <v>192.45699999999999</v>
          </cell>
        </row>
        <row r="50">
          <cell r="B50" t="str">
            <v>A9352</v>
          </cell>
          <cell r="S50">
            <v>3.2467999999999999</v>
          </cell>
        </row>
        <row r="51">
          <cell r="B51" t="str">
            <v>E9622</v>
          </cell>
          <cell r="S51">
            <v>5.2055999999999996</v>
          </cell>
        </row>
        <row r="52">
          <cell r="B52" t="str">
            <v>E9623</v>
          </cell>
          <cell r="S52">
            <v>11.4377</v>
          </cell>
        </row>
        <row r="53">
          <cell r="B53" t="str">
            <v>E9647</v>
          </cell>
          <cell r="S53">
            <v>4.8025000000000002</v>
          </cell>
        </row>
        <row r="54">
          <cell r="B54" t="str">
            <v>E9666</v>
          </cell>
          <cell r="C54" t="str">
            <v>Cavalo mecânico com semi-reboque e capacidade de 30 t - 240 kW (Axor 2041 - Mercedes-Benz / Randon)</v>
          </cell>
          <cell r="S54">
            <v>272.46280000000002</v>
          </cell>
          <cell r="T54">
            <v>83.802000000000007</v>
          </cell>
        </row>
        <row r="55">
          <cell r="B55" t="str">
            <v>A9318</v>
          </cell>
          <cell r="S55">
            <v>235.77799999999999</v>
          </cell>
        </row>
        <row r="56">
          <cell r="B56" t="str">
            <v>A9354</v>
          </cell>
          <cell r="S56">
            <v>36.684800000000003</v>
          </cell>
        </row>
        <row r="57">
          <cell r="A57" t="str">
            <v>DNIT –</v>
          </cell>
          <cell r="B57" t="str">
            <v>E9667</v>
          </cell>
          <cell r="C57" t="str">
            <v>Caminhão basculante com capacidade de 14 m³ - 323 kW</v>
          </cell>
          <cell r="S57">
            <v>265.84550000000002</v>
          </cell>
          <cell r="T57">
            <v>51.721299999999999</v>
          </cell>
        </row>
        <row r="58">
          <cell r="B58" t="str">
            <v>A9323</v>
          </cell>
          <cell r="S58">
            <v>257.20249999999999</v>
          </cell>
        </row>
        <row r="59">
          <cell r="B59" t="str">
            <v>A9344</v>
          </cell>
          <cell r="S59">
            <v>8.6430000000000007</v>
          </cell>
        </row>
        <row r="60">
          <cell r="A60" t="str">
            <v>DNIT –</v>
          </cell>
          <cell r="B60" t="str">
            <v>E9684</v>
          </cell>
          <cell r="C60" t="str">
            <v>Veículo leve Pick Up 4 x 4 - 147 kW (S10 - Chevrolet 4 x 4 - Cabine Dupla)</v>
          </cell>
          <cell r="S60">
            <v>134.80770000000001</v>
          </cell>
          <cell r="T60">
            <v>37.881900000000002</v>
          </cell>
        </row>
        <row r="61">
          <cell r="A61" t="str">
            <v>DNIT –</v>
          </cell>
          <cell r="B61" t="str">
            <v>E9685</v>
          </cell>
          <cell r="C61" t="str">
            <v>Rolo compactador pé de carneiro vibratório autopropelido de 11,6 t - 82 kW (CA 250 D - Dynapac)</v>
          </cell>
          <cell r="S61">
            <v>150.01669999999999</v>
          </cell>
          <cell r="T61">
            <v>68.910399999999996</v>
          </cell>
        </row>
        <row r="62">
          <cell r="A62" t="str">
            <v>DNIT –</v>
          </cell>
          <cell r="B62" t="str">
            <v>E9686</v>
          </cell>
          <cell r="C62" t="str">
            <v>Caminhão carroceria com guindauto com capacidade de 20 t.m - 136 kW</v>
          </cell>
          <cell r="S62">
            <v>198.30850000000001</v>
          </cell>
          <cell r="T62">
            <v>85.256</v>
          </cell>
        </row>
        <row r="63">
          <cell r="B63" t="str">
            <v>A9308</v>
          </cell>
          <cell r="S63">
            <v>160.30719999999999</v>
          </cell>
        </row>
        <row r="64">
          <cell r="B64" t="str">
            <v>A9372</v>
          </cell>
          <cell r="S64">
            <v>35.474299999999999</v>
          </cell>
        </row>
        <row r="65">
          <cell r="B65" t="str">
            <v>A9349</v>
          </cell>
          <cell r="S65">
            <v>2.5270000000000001</v>
          </cell>
        </row>
        <row r="66">
          <cell r="A66" t="str">
            <v>DNIT –</v>
          </cell>
          <cell r="B66" t="str">
            <v>E9687</v>
          </cell>
          <cell r="C66" t="str">
            <v>Caminhão carroceria com capacidade de 5 t - 115 Kw (Accelo 815 - Mercedes-Benz</v>
          </cell>
          <cell r="S66">
            <v>135.44540000000001</v>
          </cell>
          <cell r="T66">
            <v>48.924700000000001</v>
          </cell>
        </row>
        <row r="67">
          <cell r="B67" t="str">
            <v>A9303</v>
          </cell>
          <cell r="S67">
            <v>133.22040000000001</v>
          </cell>
        </row>
        <row r="68">
          <cell r="B68" t="str">
            <v>A9348</v>
          </cell>
          <cell r="S68">
            <v>2.2250000000000001</v>
          </cell>
        </row>
        <row r="69">
          <cell r="B69" t="str">
            <v>E9762</v>
          </cell>
          <cell r="S69">
            <v>156.08949999999999</v>
          </cell>
        </row>
        <row r="74">
          <cell r="B74" t="str">
            <v xml:space="preserve">Nos valores de"Custos de Operação" adota-se um coeficiente de 0,18 l/kWh para cálculo do custo horário de combustível, lubrificantes, filtros e graxas, no grupo que envolve os equipamentos movidos a óleo diesel, conforme consta no item 6.3.1 do Manual de </v>
          </cell>
        </row>
      </sheetData>
      <sheetData sheetId="9" refreshError="1">
        <row r="8">
          <cell r="B8">
            <v>5914404</v>
          </cell>
          <cell r="S8">
            <v>1.1200000000000001</v>
          </cell>
        </row>
        <row r="9">
          <cell r="B9">
            <v>5914419</v>
          </cell>
          <cell r="S9">
            <v>0.89</v>
          </cell>
        </row>
        <row r="10">
          <cell r="B10">
            <v>5914434</v>
          </cell>
          <cell r="S10">
            <v>0.71</v>
          </cell>
        </row>
        <row r="26">
          <cell r="B26">
            <v>5914584</v>
          </cell>
          <cell r="S26">
            <v>1.79</v>
          </cell>
        </row>
        <row r="27">
          <cell r="B27">
            <v>5914599</v>
          </cell>
          <cell r="S27">
            <v>1.43</v>
          </cell>
        </row>
        <row r="28">
          <cell r="B28">
            <v>5914614</v>
          </cell>
          <cell r="S28">
            <v>1.1399999999999999</v>
          </cell>
        </row>
        <row r="29">
          <cell r="B29">
            <v>5915322</v>
          </cell>
          <cell r="S29">
            <v>1.71</v>
          </cell>
        </row>
        <row r="30">
          <cell r="B30">
            <v>5915323</v>
          </cell>
          <cell r="S30">
            <v>1.37</v>
          </cell>
        </row>
        <row r="31">
          <cell r="B31">
            <v>5915324</v>
          </cell>
          <cell r="S31">
            <v>1.0900000000000001</v>
          </cell>
        </row>
        <row r="32">
          <cell r="B32">
            <v>5914449</v>
          </cell>
          <cell r="S32">
            <v>0.82</v>
          </cell>
        </row>
        <row r="33">
          <cell r="B33">
            <v>5914464</v>
          </cell>
          <cell r="S33">
            <v>0.66</v>
          </cell>
        </row>
        <row r="34">
          <cell r="B34">
            <v>5914479</v>
          </cell>
          <cell r="S34">
            <v>0.52</v>
          </cell>
        </row>
      </sheetData>
      <sheetData sheetId="10" refreshError="1">
        <row r="34">
          <cell r="I34">
            <v>0.25569999999999998</v>
          </cell>
        </row>
      </sheetData>
      <sheetData sheetId="11" refreshError="1">
        <row r="7">
          <cell r="L7" t="str">
            <v>1.1</v>
          </cell>
        </row>
        <row r="18">
          <cell r="E18" t="str">
            <v>Mobilização e desmobilização de pessoal, máquinas e equipamentos</v>
          </cell>
          <cell r="L18" t="str">
            <v xml:space="preserve">un </v>
          </cell>
        </row>
      </sheetData>
      <sheetData sheetId="12" refreshError="1">
        <row r="7">
          <cell r="L7" t="str">
            <v>1.2</v>
          </cell>
        </row>
        <row r="18">
          <cell r="E18" t="str">
            <v>Abrigo provisório de madeira executado na obra para alojamento e depósito de materiais e ferramentas</v>
          </cell>
          <cell r="L18" t="str">
            <v>m²</v>
          </cell>
        </row>
        <row r="86">
          <cell r="L86">
            <v>546.58000000000004</v>
          </cell>
        </row>
      </sheetData>
      <sheetData sheetId="13" refreshError="1">
        <row r="18">
          <cell r="E18" t="str">
            <v>Instalações de campo e alojamento.</v>
          </cell>
          <cell r="L18" t="str">
            <v>mês</v>
          </cell>
        </row>
      </sheetData>
      <sheetData sheetId="14" refreshError="1">
        <row r="18">
          <cell r="E18" t="str">
            <v>Placa de obra em chapa de aço galvanizado, no tamanho de (2,00 m x 3,20 m)</v>
          </cell>
          <cell r="L18" t="str">
            <v>m²</v>
          </cell>
        </row>
      </sheetData>
      <sheetData sheetId="15" refreshError="1">
        <row r="7">
          <cell r="L7" t="str">
            <v>1.5</v>
          </cell>
        </row>
        <row r="69">
          <cell r="L69">
            <v>0</v>
          </cell>
        </row>
      </sheetData>
      <sheetData sheetId="16" refreshError="1">
        <row r="7">
          <cell r="L7" t="str">
            <v>2.1</v>
          </cell>
        </row>
        <row r="18">
          <cell r="E18" t="str">
            <v>Elaboração de estudos ambientais simplificados para complementação das estradas vicinais e uso de jazidas de materiais lateríticos e do Plano de Recuperação de Área Degradada - PRAD, objetivando a exploração de jazidas e sua posterior recuperação ambienta</v>
          </cell>
          <cell r="L18" t="str">
            <v>km</v>
          </cell>
        </row>
      </sheetData>
      <sheetData sheetId="17" refreshError="1">
        <row r="7">
          <cell r="L7" t="str">
            <v>2.2</v>
          </cell>
        </row>
        <row r="18">
          <cell r="E18" t="str">
            <v>Elaboração de projeto de estradas vicinais (contemplando serviços de locação e levantamento do eixo da estrada, nivelamento do terreno natural, lançamento da linha de greide, perfil longitudinal, seções transversais, expedição de notas de serviços, locaçã</v>
          </cell>
          <cell r="L18" t="str">
            <v>km</v>
          </cell>
        </row>
        <row r="63">
          <cell r="L63">
            <v>4426.43</v>
          </cell>
        </row>
      </sheetData>
      <sheetData sheetId="18" refreshError="1">
        <row r="7">
          <cell r="L7" t="str">
            <v>2.3</v>
          </cell>
        </row>
        <row r="18">
          <cell r="E18" t="str">
            <v>Elaboração de projeto estrutural de ponte em concreto armado (incluso o dimensionamento da fundação; não contempla a sondagem, a topografia e o estudo hidrológico). Verificar os índices das taxas dessa composição.</v>
          </cell>
          <cell r="L18" t="str">
            <v>m²</v>
          </cell>
        </row>
        <row r="52">
          <cell r="H52">
            <v>38.238908681013498</v>
          </cell>
        </row>
        <row r="53">
          <cell r="F53">
            <v>0.08</v>
          </cell>
          <cell r="H53">
            <v>40.798908681013501</v>
          </cell>
        </row>
        <row r="54">
          <cell r="F54">
            <v>0.04</v>
          </cell>
          <cell r="H54">
            <v>38.238908681013498</v>
          </cell>
        </row>
        <row r="55">
          <cell r="F55">
            <v>1.2999999999999999E-2</v>
          </cell>
          <cell r="H55">
            <v>34.782908681013502</v>
          </cell>
        </row>
        <row r="56">
          <cell r="F56">
            <v>8.0000000000000002E-3</v>
          </cell>
          <cell r="H56">
            <v>33.502908681013501</v>
          </cell>
        </row>
        <row r="57">
          <cell r="F57">
            <v>4.0000000000000001E-3</v>
          </cell>
          <cell r="H57">
            <v>31.454908681013499</v>
          </cell>
        </row>
      </sheetData>
      <sheetData sheetId="19" refreshError="1">
        <row r="7">
          <cell r="L7" t="str">
            <v>2.4</v>
          </cell>
        </row>
        <row r="18">
          <cell r="E18" t="str">
            <v>Serviços geotécnicos (sondagem) em material de 1ª categoria</v>
          </cell>
          <cell r="L18" t="str">
            <v>m</v>
          </cell>
        </row>
        <row r="69">
          <cell r="L69">
            <v>378.26</v>
          </cell>
        </row>
      </sheetData>
      <sheetData sheetId="20" refreshError="1">
        <row r="7">
          <cell r="L7" t="str">
            <v>2.5</v>
          </cell>
        </row>
        <row r="18">
          <cell r="E18" t="str">
            <v>Serviços geotécnicos (sondagem) em material de 2ª categoria</v>
          </cell>
          <cell r="L18" t="str">
            <v>m</v>
          </cell>
        </row>
        <row r="69">
          <cell r="L69">
            <v>586.37</v>
          </cell>
        </row>
      </sheetData>
      <sheetData sheetId="21" refreshError="1">
        <row r="7">
          <cell r="L7" t="str">
            <v>2.6</v>
          </cell>
        </row>
        <row r="18">
          <cell r="E18" t="str">
            <v>Serviços geotécnicos (sondagem) em material de 3ª categoria</v>
          </cell>
          <cell r="L18" t="str">
            <v>m</v>
          </cell>
        </row>
        <row r="69">
          <cell r="L69">
            <v>508.14</v>
          </cell>
        </row>
      </sheetData>
      <sheetData sheetId="22" refreshError="1">
        <row r="7">
          <cell r="L7" t="str">
            <v>2.7</v>
          </cell>
        </row>
        <row r="18">
          <cell r="E18" t="str">
            <v>Hidrologia e projeto hidráulico de pontes. (Verificar os índices das taxas dessa composição).</v>
          </cell>
          <cell r="L18" t="str">
            <v>un</v>
          </cell>
        </row>
        <row r="52">
          <cell r="L52">
            <v>6844.66</v>
          </cell>
        </row>
      </sheetData>
      <sheetData sheetId="23" refreshError="1">
        <row r="7">
          <cell r="L7" t="str">
            <v>2.8</v>
          </cell>
        </row>
        <row r="18">
          <cell r="E18" t="str">
            <v>Levantamento topográfico para elaboração de projeto de ponte. (Verificar os índices das taxas dessa composição).</v>
          </cell>
          <cell r="L18" t="str">
            <v>ha</v>
          </cell>
        </row>
        <row r="67">
          <cell r="L67">
            <v>2112.91</v>
          </cell>
        </row>
      </sheetData>
      <sheetData sheetId="24" refreshError="1">
        <row r="7">
          <cell r="L7" t="str">
            <v>2.9</v>
          </cell>
        </row>
        <row r="69">
          <cell r="L69">
            <v>0</v>
          </cell>
        </row>
      </sheetData>
      <sheetData sheetId="25" refreshError="1">
        <row r="7">
          <cell r="L7" t="str">
            <v>2.10</v>
          </cell>
        </row>
        <row r="69">
          <cell r="L69">
            <v>0</v>
          </cell>
        </row>
      </sheetData>
      <sheetData sheetId="26" refreshError="1">
        <row r="7">
          <cell r="L7" t="str">
            <v>2.11</v>
          </cell>
        </row>
        <row r="69">
          <cell r="L69">
            <v>0</v>
          </cell>
        </row>
      </sheetData>
      <sheetData sheetId="27" refreshError="1">
        <row r="7">
          <cell r="L7" t="str">
            <v>3.1</v>
          </cell>
        </row>
        <row r="18">
          <cell r="E18" t="str">
            <v>Administração Local</v>
          </cell>
          <cell r="L18" t="str">
            <v>mês</v>
          </cell>
        </row>
      </sheetData>
      <sheetData sheetId="28" refreshError="1">
        <row r="7">
          <cell r="L7" t="str">
            <v>3.2</v>
          </cell>
        </row>
        <row r="69">
          <cell r="L69">
            <v>0</v>
          </cell>
        </row>
      </sheetData>
      <sheetData sheetId="29" refreshError="1">
        <row r="7">
          <cell r="L7" t="str">
            <v>4.1</v>
          </cell>
        </row>
        <row r="18">
          <cell r="E18" t="str">
            <v>Desmatamento e limpeza mecanizada de terreno com remoção de camada vegetal, utilizando trator esteiras</v>
          </cell>
          <cell r="L18" t="str">
            <v>m²</v>
          </cell>
        </row>
      </sheetData>
      <sheetData sheetId="30" refreshError="1">
        <row r="7">
          <cell r="L7" t="str">
            <v>4.2</v>
          </cell>
        </row>
        <row r="18">
          <cell r="E18" t="str">
            <v>Desmatamento,  destocamento e limpeza em áreas com árvores de diâmetro até 0,15 m</v>
          </cell>
          <cell r="L18" t="str">
            <v>m²</v>
          </cell>
        </row>
      </sheetData>
      <sheetData sheetId="31" refreshError="1">
        <row r="7">
          <cell r="L7" t="str">
            <v>4.3</v>
          </cell>
        </row>
        <row r="18">
          <cell r="E18" t="str">
            <v>Desmatamento,  destocamento e limpeza em áreas com árvores de diâmetro maiores que 0,15 m</v>
          </cell>
          <cell r="L18" t="str">
            <v>m²</v>
          </cell>
        </row>
        <row r="66">
          <cell r="L66">
            <v>0.59</v>
          </cell>
        </row>
      </sheetData>
      <sheetData sheetId="32" refreshError="1">
        <row r="7">
          <cell r="L7" t="str">
            <v>4.4</v>
          </cell>
        </row>
        <row r="18">
          <cell r="E18" t="str">
            <v>Destocamento de árvores com diâmetros entre 0,15 a 0,30 m</v>
          </cell>
          <cell r="L18" t="str">
            <v xml:space="preserve">un </v>
          </cell>
        </row>
        <row r="66">
          <cell r="L66">
            <v>23.4</v>
          </cell>
        </row>
      </sheetData>
      <sheetData sheetId="33" refreshError="1">
        <row r="7">
          <cell r="L7" t="str">
            <v>4.5</v>
          </cell>
        </row>
        <row r="18">
          <cell r="E18" t="str">
            <v>Destocamento de árvores com diâmetro superior a 0,30 m</v>
          </cell>
          <cell r="L18" t="str">
            <v xml:space="preserve">un </v>
          </cell>
        </row>
        <row r="66">
          <cell r="L66">
            <v>75.02</v>
          </cell>
        </row>
      </sheetData>
      <sheetData sheetId="34" refreshError="1">
        <row r="7">
          <cell r="L7" t="str">
            <v>4.6</v>
          </cell>
        </row>
        <row r="69">
          <cell r="L69">
            <v>0</v>
          </cell>
        </row>
      </sheetData>
      <sheetData sheetId="35" refreshError="1">
        <row r="7">
          <cell r="L7" t="str">
            <v>4.7</v>
          </cell>
        </row>
        <row r="69">
          <cell r="L69">
            <v>0</v>
          </cell>
        </row>
      </sheetData>
      <sheetData sheetId="36" refreshError="1">
        <row r="7">
          <cell r="L7" t="str">
            <v>4.8</v>
          </cell>
        </row>
        <row r="69">
          <cell r="L69">
            <v>0</v>
          </cell>
        </row>
      </sheetData>
      <sheetData sheetId="37" refreshError="1">
        <row r="6">
          <cell r="L6" t="str">
            <v>INCRA C</v>
          </cell>
        </row>
        <row r="7">
          <cell r="L7" t="str">
            <v>5.1</v>
          </cell>
        </row>
        <row r="18">
          <cell r="E18" t="str">
            <v>Escavação, carga e transporte de material  de 1ª categoria (DMT ≤ 50 m), inclusive seção padrão</v>
          </cell>
          <cell r="L18" t="str">
            <v>m³</v>
          </cell>
        </row>
        <row r="64">
          <cell r="L64">
            <v>1.3088</v>
          </cell>
        </row>
      </sheetData>
      <sheetData sheetId="38" refreshError="1">
        <row r="7">
          <cell r="L7" t="str">
            <v>5.2</v>
          </cell>
        </row>
        <row r="18">
          <cell r="E18" t="str">
            <v>Escavação, carga e transporte de material de 1ª categoria - DMT de 50 a 200 m - caminho de serviço em leito natural - com escavadeira e caminhão basculante de 14 m³</v>
          </cell>
          <cell r="L18" t="str">
            <v>m³</v>
          </cell>
        </row>
      </sheetData>
      <sheetData sheetId="39" refreshError="1">
        <row r="7">
          <cell r="L7" t="str">
            <v>5.3</v>
          </cell>
        </row>
        <row r="18">
          <cell r="E18" t="str">
            <v>Escavação, carga e transporte de material de 1ª categoria - DMT de 200 a 400 m - caminho de serviço em leito natural - com escavadeira e caminhão basculante de 14 m³</v>
          </cell>
          <cell r="L18" t="str">
            <v>m³</v>
          </cell>
        </row>
        <row r="65">
          <cell r="L65">
            <v>6.91</v>
          </cell>
        </row>
      </sheetData>
      <sheetData sheetId="40" refreshError="1">
        <row r="7">
          <cell r="L7" t="str">
            <v>5.4</v>
          </cell>
        </row>
        <row r="18">
          <cell r="E18" t="str">
            <v>Escavação, carga e transporte de material de 1ª categoria - DMT de 400 a 600 m - caminho de serviço em leito natural - com escavadeira e caminhão basculante de 14 m³</v>
          </cell>
          <cell r="L18" t="str">
            <v>m³</v>
          </cell>
        </row>
        <row r="66">
          <cell r="L66">
            <v>7.37</v>
          </cell>
        </row>
      </sheetData>
      <sheetData sheetId="41" refreshError="1">
        <row r="7">
          <cell r="L7" t="str">
            <v>5.5</v>
          </cell>
        </row>
        <row r="18">
          <cell r="E18" t="str">
            <v>Escavação, carga e transporte de material de 1ª categoria - DMT de 600 a 800 m - caminho de serviço em leito natural - com escavadeira e caminhão basculante de 14 m³</v>
          </cell>
          <cell r="L18" t="str">
            <v>m³</v>
          </cell>
        </row>
        <row r="66">
          <cell r="L66">
            <v>8.11</v>
          </cell>
        </row>
      </sheetData>
      <sheetData sheetId="42" refreshError="1">
        <row r="7">
          <cell r="L7" t="str">
            <v>5.6</v>
          </cell>
        </row>
        <row r="18">
          <cell r="E18" t="str">
            <v>Escavação, carga e transporte de material de 1ª categoria - DMT de 800 a 1.000 m - caminho de serviço em leito natural - com escavadeira e caminhão basculante de 14 m³</v>
          </cell>
          <cell r="L18" t="str">
            <v>m³</v>
          </cell>
        </row>
        <row r="66">
          <cell r="L66">
            <v>8.49</v>
          </cell>
        </row>
      </sheetData>
      <sheetData sheetId="43" refreshError="1">
        <row r="7">
          <cell r="L7" t="str">
            <v>5.7</v>
          </cell>
        </row>
        <row r="18">
          <cell r="E18" t="str">
            <v>Escavação, carga e transporte de material  de 2ª categoria (DMT ≤ 50 m)</v>
          </cell>
          <cell r="L18" t="str">
            <v>m³</v>
          </cell>
        </row>
        <row r="66">
          <cell r="L66">
            <v>4.3499999999999996</v>
          </cell>
        </row>
      </sheetData>
      <sheetData sheetId="44" refreshError="1">
        <row r="7">
          <cell r="L7" t="str">
            <v>5.8</v>
          </cell>
        </row>
        <row r="18">
          <cell r="E18" t="str">
            <v>Escavação, carga e transporte de material de 2ª categoria - DMT de 50 a 200 m - caminho de serviço em leito natural - com escavadeira e caminhão basculante de 14 m³</v>
          </cell>
          <cell r="L18" t="str">
            <v>m³</v>
          </cell>
        </row>
        <row r="66">
          <cell r="L66">
            <v>8.25</v>
          </cell>
        </row>
      </sheetData>
      <sheetData sheetId="45" refreshError="1">
        <row r="7">
          <cell r="L7" t="str">
            <v>5.9</v>
          </cell>
        </row>
        <row r="18">
          <cell r="E18" t="str">
            <v>Escavação, carga e transporte de material de 3ª categoria - DMT de de 0 a 50 m (Expurgo)</v>
          </cell>
          <cell r="L18" t="str">
            <v>m³</v>
          </cell>
        </row>
        <row r="72">
          <cell r="L72">
            <v>52.46</v>
          </cell>
        </row>
      </sheetData>
      <sheetData sheetId="46" refreshError="1">
        <row r="7">
          <cell r="L7" t="str">
            <v>5.10</v>
          </cell>
        </row>
        <row r="18">
          <cell r="E18" t="str">
            <v>Escavação e carga de material de jazida com trator de 112 kW e carregadeira de 3,3 m³</v>
          </cell>
          <cell r="L18" t="str">
            <v>m³</v>
          </cell>
        </row>
        <row r="66">
          <cell r="L66">
            <v>3.66</v>
          </cell>
        </row>
      </sheetData>
      <sheetData sheetId="47" refreshError="1">
        <row r="7">
          <cell r="L7" t="str">
            <v>5.11</v>
          </cell>
        </row>
        <row r="18">
          <cell r="E18" t="str">
            <v>Transporte com caminhão basculante de 10 m³ - rodovia em leito natural</v>
          </cell>
          <cell r="L18" t="str">
            <v>t * km</v>
          </cell>
        </row>
        <row r="66">
          <cell r="L66">
            <v>1.02</v>
          </cell>
        </row>
      </sheetData>
      <sheetData sheetId="48" refreshError="1">
        <row r="7">
          <cell r="L7" t="str">
            <v>5.12</v>
          </cell>
        </row>
        <row r="18">
          <cell r="E18" t="str">
            <v>Transporte com caminhão basculante de 10 m³ - rodovia com revestimento primário</v>
          </cell>
          <cell r="L18" t="str">
            <v>t * km</v>
          </cell>
        </row>
        <row r="66">
          <cell r="L66">
            <v>0.81</v>
          </cell>
        </row>
      </sheetData>
      <sheetData sheetId="49" refreshError="1">
        <row r="6">
          <cell r="L6" t="str">
            <v>INCRA C</v>
          </cell>
        </row>
        <row r="7">
          <cell r="L7" t="str">
            <v>5.13</v>
          </cell>
        </row>
        <row r="18">
          <cell r="E18" t="str">
            <v>Compactação de aterros a 95 % do proctor normal (inclusos o espalhamento e a conformação da plataforma)</v>
          </cell>
          <cell r="L18" t="str">
            <v>m³</v>
          </cell>
        </row>
        <row r="65">
          <cell r="L65">
            <v>3.2172999999999998</v>
          </cell>
        </row>
      </sheetData>
      <sheetData sheetId="50" refreshError="1">
        <row r="18">
          <cell r="E18" t="str">
            <v>Reconformação da plataforma</v>
          </cell>
          <cell r="L18" t="str">
            <v xml:space="preserve">ha </v>
          </cell>
        </row>
      </sheetData>
      <sheetData sheetId="51" refreshError="1">
        <row r="6">
          <cell r="L6" t="str">
            <v>INCRA C</v>
          </cell>
        </row>
        <row r="7">
          <cell r="L7" t="str">
            <v>5.15</v>
          </cell>
        </row>
        <row r="18">
          <cell r="E18" t="str">
            <v>Escavação mecânica de vala em material de 1ª categoria</v>
          </cell>
          <cell r="L18" t="str">
            <v>m³</v>
          </cell>
        </row>
        <row r="64">
          <cell r="L64">
            <v>6.4790999999999999</v>
          </cell>
        </row>
        <row r="66">
          <cell r="L66">
            <v>8.14</v>
          </cell>
        </row>
      </sheetData>
      <sheetData sheetId="52" refreshError="1">
        <row r="18">
          <cell r="E18" t="str">
            <v>Valetas e saídas laterais d´agua (bigodes - executadas com motoniveladora)</v>
          </cell>
          <cell r="L18" t="str">
            <v>m</v>
          </cell>
        </row>
      </sheetData>
      <sheetData sheetId="53" refreshError="1">
        <row r="7">
          <cell r="L7" t="str">
            <v>5.17</v>
          </cell>
        </row>
        <row r="18">
          <cell r="E18" t="str">
            <v>Escavação e carga de solos moles - sem transporte (expurgo de areia da pista)</v>
          </cell>
          <cell r="L18" t="str">
            <v>m³</v>
          </cell>
        </row>
        <row r="66">
          <cell r="L66">
            <v>1.64</v>
          </cell>
        </row>
      </sheetData>
      <sheetData sheetId="54" refreshError="1">
        <row r="18">
          <cell r="E18" t="str">
            <v>Expurgo de jazida - Limpeza e decapeamento</v>
          </cell>
          <cell r="L18" t="str">
            <v>m³</v>
          </cell>
        </row>
      </sheetData>
      <sheetData sheetId="55" refreshError="1">
        <row r="7">
          <cell r="L7" t="str">
            <v>5.19</v>
          </cell>
        </row>
        <row r="18">
          <cell r="E18" t="str">
            <v>Semeadura manual em taludes (pó calcário, adubos NPK, orgânico, potássio, fósforo enxofre e sementes)</v>
          </cell>
          <cell r="L18" t="str">
            <v>m²</v>
          </cell>
        </row>
        <row r="74">
          <cell r="L74">
            <v>1.52</v>
          </cell>
        </row>
      </sheetData>
      <sheetData sheetId="56" refreshError="1">
        <row r="18">
          <cell r="E18" t="str">
            <v>Caixas de retenção nas laterais da estrada para acúmulo de águas pluviais  (bacias de acumulação - micro bacias)</v>
          </cell>
          <cell r="L18" t="str">
            <v xml:space="preserve">un </v>
          </cell>
        </row>
      </sheetData>
      <sheetData sheetId="57" refreshError="1">
        <row r="18">
          <cell r="E18" t="str">
            <v>Lombadas em aterro compactado para redução de velocidade das águas pluviais</v>
          </cell>
          <cell r="L18" t="str">
            <v xml:space="preserve">un </v>
          </cell>
        </row>
      </sheetData>
      <sheetData sheetId="58" refreshError="1">
        <row r="7">
          <cell r="L7" t="str">
            <v>5.22</v>
          </cell>
        </row>
        <row r="69">
          <cell r="L69">
            <v>0</v>
          </cell>
        </row>
      </sheetData>
      <sheetData sheetId="59" refreshError="1">
        <row r="7">
          <cell r="L7" t="str">
            <v>5.23</v>
          </cell>
        </row>
        <row r="69">
          <cell r="L69">
            <v>0</v>
          </cell>
        </row>
      </sheetData>
      <sheetData sheetId="60" refreshError="1">
        <row r="7">
          <cell r="L7" t="str">
            <v>5.24</v>
          </cell>
        </row>
        <row r="69">
          <cell r="L69">
            <v>0</v>
          </cell>
        </row>
      </sheetData>
      <sheetData sheetId="61" refreshError="1">
        <row r="7">
          <cell r="L7" t="str">
            <v>5.25</v>
          </cell>
        </row>
        <row r="69">
          <cell r="L69">
            <v>0</v>
          </cell>
        </row>
      </sheetData>
      <sheetData sheetId="62" refreshError="1">
        <row r="7">
          <cell r="L7" t="str">
            <v>6.1</v>
          </cell>
        </row>
        <row r="18">
          <cell r="E18" t="str">
            <v>Corpo de bueiro BSTC ø = 0,40 m, PA-1, com berço em concreto ciclópico</v>
          </cell>
          <cell r="L18" t="str">
            <v>m</v>
          </cell>
        </row>
        <row r="63">
          <cell r="L63">
            <v>186.66</v>
          </cell>
        </row>
      </sheetData>
      <sheetData sheetId="63" refreshError="1">
        <row r="18">
          <cell r="E18" t="str">
            <v>Corpo de bueiro BSTC ø = 0,60 m, PA-1, com berço em concreto ciclópico</v>
          </cell>
          <cell r="L18" t="str">
            <v>m</v>
          </cell>
        </row>
      </sheetData>
      <sheetData sheetId="64" refreshError="1">
        <row r="7">
          <cell r="L7" t="str">
            <v>6.3</v>
          </cell>
        </row>
        <row r="18">
          <cell r="E18" t="str">
            <v>Corpo de bueiro BSTC ø = 0,80 m, PA-1, com berço em concreto ciclópico</v>
          </cell>
          <cell r="L18" t="str">
            <v>m</v>
          </cell>
        </row>
        <row r="63">
          <cell r="L63">
            <v>443.82</v>
          </cell>
        </row>
      </sheetData>
      <sheetData sheetId="65" refreshError="1">
        <row r="18">
          <cell r="E18" t="str">
            <v>Corpo de bueiro BSTC ø = 1,00 m, PA-1, com berço em concreto ciclópico</v>
          </cell>
          <cell r="L18" t="str">
            <v>m</v>
          </cell>
        </row>
      </sheetData>
      <sheetData sheetId="66" refreshError="1">
        <row r="7">
          <cell r="L7" t="str">
            <v>6.5</v>
          </cell>
        </row>
        <row r="18">
          <cell r="E18" t="str">
            <v>Corpo de bueiro BSTC ø = 1,20 m, PA-1, com berço em concreto ciclópico</v>
          </cell>
          <cell r="L18" t="str">
            <v>m</v>
          </cell>
        </row>
        <row r="63">
          <cell r="L63">
            <v>893.09</v>
          </cell>
        </row>
      </sheetData>
      <sheetData sheetId="67" refreshError="1">
        <row r="7">
          <cell r="L7" t="str">
            <v>6.6</v>
          </cell>
        </row>
        <row r="18">
          <cell r="E18" t="str">
            <v>Corpo de bueiro BSTC ø = 1,50 m, PA-1, com berço em concreto ciclópico</v>
          </cell>
          <cell r="L18" t="str">
            <v>m</v>
          </cell>
        </row>
        <row r="63">
          <cell r="L63">
            <v>1536.07</v>
          </cell>
        </row>
      </sheetData>
      <sheetData sheetId="68" refreshError="1">
        <row r="7">
          <cell r="L7" t="str">
            <v>6.7</v>
          </cell>
        </row>
        <row r="18">
          <cell r="E18" t="str">
            <v>Corpo de bueiro BDTC ø = 0,40 m, PA-1, com berço em concreto ciclópico</v>
          </cell>
          <cell r="L18" t="str">
            <v>m</v>
          </cell>
        </row>
        <row r="63">
          <cell r="L63">
            <v>353.76</v>
          </cell>
        </row>
      </sheetData>
      <sheetData sheetId="69" refreshError="1">
        <row r="18">
          <cell r="E18" t="str">
            <v>Corpo de bueiro BDTC ø = 0,60 m, PA-1, com berço em concreto ciclópico</v>
          </cell>
          <cell r="L18" t="str">
            <v>m</v>
          </cell>
        </row>
      </sheetData>
      <sheetData sheetId="70" refreshError="1">
        <row r="7">
          <cell r="L7" t="str">
            <v>6.9</v>
          </cell>
        </row>
        <row r="18">
          <cell r="E18" t="str">
            <v>Corpo de bueiro BDTC ø = 0,80 m, PA-1, com berço em concreto ciclópico</v>
          </cell>
          <cell r="L18" t="str">
            <v>m</v>
          </cell>
        </row>
        <row r="63">
          <cell r="L63">
            <v>858.3</v>
          </cell>
        </row>
      </sheetData>
      <sheetData sheetId="71" refreshError="1">
        <row r="18">
          <cell r="E18" t="str">
            <v>Corpo de bueiro BDTC ø = 1,00 m, PA-1, com berço em concreto ciclópico</v>
          </cell>
          <cell r="L18" t="str">
            <v>m</v>
          </cell>
        </row>
      </sheetData>
      <sheetData sheetId="72" refreshError="1">
        <row r="7">
          <cell r="L7" t="str">
            <v>6.11</v>
          </cell>
        </row>
        <row r="18">
          <cell r="E18" t="str">
            <v>Corpo de bueiro BDTC ø = 1,20 m, PA-1, com berço em concreto ciclópico</v>
          </cell>
          <cell r="L18" t="str">
            <v>m</v>
          </cell>
        </row>
        <row r="63">
          <cell r="L63">
            <v>1747.05</v>
          </cell>
        </row>
      </sheetData>
      <sheetData sheetId="73" refreshError="1">
        <row r="7">
          <cell r="L7" t="str">
            <v>6.12</v>
          </cell>
        </row>
        <row r="18">
          <cell r="E18" t="str">
            <v>Corpo de bueiro BDTC ø = 1,50 m, PA-1, com berço em concreto ciclópico</v>
          </cell>
          <cell r="L18" t="str">
            <v>m</v>
          </cell>
        </row>
        <row r="63">
          <cell r="L63">
            <v>3032.9</v>
          </cell>
        </row>
      </sheetData>
      <sheetData sheetId="74" refreshError="1">
        <row r="7">
          <cell r="L7" t="str">
            <v>6.13</v>
          </cell>
        </row>
        <row r="18">
          <cell r="E18" t="str">
            <v>Corpo de bueiro BTTC ø = 0,40 m, PA-1, com berço em concreto ciclópico</v>
          </cell>
          <cell r="L18" t="str">
            <v>m</v>
          </cell>
        </row>
        <row r="63">
          <cell r="L63">
            <v>520.86</v>
          </cell>
        </row>
      </sheetData>
      <sheetData sheetId="75" refreshError="1">
        <row r="7">
          <cell r="L7" t="str">
            <v>6.14</v>
          </cell>
        </row>
        <row r="18">
          <cell r="E18" t="str">
            <v>Corpo de bueiro BTTC ø = 0,60 m, PA-1,com berço em concreto ciclópico</v>
          </cell>
          <cell r="L18" t="str">
            <v>m</v>
          </cell>
        </row>
        <row r="63">
          <cell r="L63">
            <v>832.99</v>
          </cell>
        </row>
      </sheetData>
      <sheetData sheetId="76" refreshError="1">
        <row r="7">
          <cell r="L7" t="str">
            <v>6.15</v>
          </cell>
        </row>
        <row r="18">
          <cell r="E18" t="str">
            <v>Corpo de bueiro BTTC ø = 0,80 m, PA-1, com berço em concreto ciclópico</v>
          </cell>
          <cell r="L18" t="str">
            <v>m</v>
          </cell>
        </row>
        <row r="63">
          <cell r="L63">
            <v>1272.79</v>
          </cell>
        </row>
      </sheetData>
      <sheetData sheetId="77" refreshError="1">
        <row r="7">
          <cell r="L7" t="str">
            <v>6.16</v>
          </cell>
        </row>
        <row r="18">
          <cell r="E18" t="str">
            <v>Corpo de bueiro BTTC ø = 1,00 m, PA-1, com berço em concreto ciclópico</v>
          </cell>
          <cell r="L18" t="str">
            <v>m</v>
          </cell>
        </row>
        <row r="63">
          <cell r="L63">
            <v>1644.68</v>
          </cell>
        </row>
      </sheetData>
      <sheetData sheetId="78" refreshError="1">
        <row r="7">
          <cell r="L7" t="str">
            <v>6.17</v>
          </cell>
        </row>
        <row r="18">
          <cell r="E18" t="str">
            <v>Corpo de bueiro BTTC ø = 1,20 m, PA-1, com berço em concreto ciclópico</v>
          </cell>
          <cell r="L18" t="str">
            <v>m</v>
          </cell>
        </row>
        <row r="63">
          <cell r="L63">
            <v>2601.02</v>
          </cell>
        </row>
      </sheetData>
      <sheetData sheetId="79" refreshError="1">
        <row r="7">
          <cell r="L7" t="str">
            <v>6.18</v>
          </cell>
        </row>
        <row r="18">
          <cell r="E18" t="str">
            <v>Corpo de bueiro BTTC ø = 1,50 m, PA-1, com berço em concreto ciclópico</v>
          </cell>
          <cell r="L18" t="str">
            <v>m</v>
          </cell>
        </row>
        <row r="63">
          <cell r="L63">
            <v>4530.3100000000004</v>
          </cell>
        </row>
      </sheetData>
      <sheetData sheetId="80" refreshError="1">
        <row r="7">
          <cell r="L7" t="str">
            <v>6.19</v>
          </cell>
        </row>
        <row r="18">
          <cell r="E18" t="str">
            <v>Boca de BSTC ø = 0,40 m, em concreto ciclópico, alas retas - esconsidade 0°</v>
          </cell>
        </row>
        <row r="63">
          <cell r="L63">
            <v>398.09</v>
          </cell>
        </row>
      </sheetData>
      <sheetData sheetId="81" refreshError="1">
        <row r="18">
          <cell r="E18" t="str">
            <v>Boca de BSTC ø = 0,60 m, em concreto ciclópico, alas retas - esconsidade 0°</v>
          </cell>
        </row>
        <row r="46">
          <cell r="H46">
            <v>2.4750000000000001E-2</v>
          </cell>
        </row>
      </sheetData>
      <sheetData sheetId="82" refreshError="1">
        <row r="7">
          <cell r="L7" t="str">
            <v>6.21</v>
          </cell>
        </row>
        <row r="18">
          <cell r="E18" t="str">
            <v>Boca de BSTC ø = 0,80 m, em concreto ciclópico, alas retas - esconsidade 0°</v>
          </cell>
        </row>
        <row r="63">
          <cell r="L63">
            <v>1116.01</v>
          </cell>
        </row>
      </sheetData>
      <sheetData sheetId="83" refreshError="1">
        <row r="18">
          <cell r="E18" t="str">
            <v>Boca de BSTC ø = 1,00 m, em concreto ciclópico, alas retas - esconsidade 0°</v>
          </cell>
        </row>
      </sheetData>
      <sheetData sheetId="84" refreshError="1">
        <row r="7">
          <cell r="L7" t="str">
            <v>6.23</v>
          </cell>
        </row>
        <row r="18">
          <cell r="E18" t="str">
            <v>Boca de BSTC ø = 1,20 m, em concreto ciclópico, alas retas - esconsidade 0°</v>
          </cell>
        </row>
        <row r="63">
          <cell r="L63">
            <v>1960.12</v>
          </cell>
        </row>
      </sheetData>
      <sheetData sheetId="85" refreshError="1">
        <row r="7">
          <cell r="L7" t="str">
            <v>6.24</v>
          </cell>
        </row>
        <row r="18">
          <cell r="E18" t="str">
            <v>Boca de BSTC ø = 1,50 m, em concreto ciclópico, alas retas - esconsidade 0°</v>
          </cell>
        </row>
        <row r="63">
          <cell r="L63">
            <v>3266.64</v>
          </cell>
        </row>
      </sheetData>
      <sheetData sheetId="86" refreshError="1">
        <row r="7">
          <cell r="L7" t="str">
            <v>6.25</v>
          </cell>
        </row>
        <row r="18">
          <cell r="E18" t="str">
            <v>Boca de BDTC ø = 0,40 m, em concreto ciclópico, alas retas - esconsidade 0°</v>
          </cell>
        </row>
        <row r="63">
          <cell r="L63">
            <v>549.47</v>
          </cell>
        </row>
      </sheetData>
      <sheetData sheetId="87" refreshError="1">
        <row r="18">
          <cell r="E18" t="str">
            <v>Boca de BDTC ø = 0,60 m, em concreto ciclópico, alas retas - esconsidade 0°</v>
          </cell>
        </row>
      </sheetData>
      <sheetData sheetId="88" refreshError="1">
        <row r="7">
          <cell r="L7" t="str">
            <v>6.27</v>
          </cell>
        </row>
        <row r="18">
          <cell r="E18" t="str">
            <v>Boca de BDTC ø = 0,80 m, em concreto ciclópico, alas retas - esconsidade 0°</v>
          </cell>
        </row>
        <row r="63">
          <cell r="L63">
            <v>1504.76</v>
          </cell>
        </row>
      </sheetData>
      <sheetData sheetId="89" refreshError="1">
        <row r="18">
          <cell r="E18" t="str">
            <v>Boca de BDTC ø = 1,00 m, em concreto ciclópico, alas retas - esconsidade 0°</v>
          </cell>
        </row>
      </sheetData>
      <sheetData sheetId="90" refreshError="1">
        <row r="7">
          <cell r="L7" t="str">
            <v>6.29</v>
          </cell>
        </row>
        <row r="18">
          <cell r="E18" t="str">
            <v>Boca de BDTC ø = 1,20 m, em concreto ciclópico, alas retas - esconsidade 0°</v>
          </cell>
        </row>
        <row r="63">
          <cell r="L63">
            <v>2637.82</v>
          </cell>
        </row>
      </sheetData>
      <sheetData sheetId="91" refreshError="1">
        <row r="7">
          <cell r="L7" t="str">
            <v>6.30</v>
          </cell>
        </row>
        <row r="18">
          <cell r="E18" t="str">
            <v>Boca de BDTC ø = 1,50 m, em concreto ciclópico, alas retas - esconsidade 0°</v>
          </cell>
        </row>
        <row r="63">
          <cell r="L63">
            <v>4325.24</v>
          </cell>
        </row>
      </sheetData>
      <sheetData sheetId="92" refreshError="1">
        <row r="7">
          <cell r="L7" t="str">
            <v>6.31</v>
          </cell>
        </row>
        <row r="18">
          <cell r="E18" t="str">
            <v>Boca de BTTC ø = 0,40 m, em concreto ciclópico, alas retas - esconsidade 0°</v>
          </cell>
        </row>
        <row r="63">
          <cell r="L63">
            <v>699.64</v>
          </cell>
        </row>
      </sheetData>
      <sheetData sheetId="93" refreshError="1">
        <row r="7">
          <cell r="L7" t="str">
            <v>6.32</v>
          </cell>
        </row>
        <row r="18">
          <cell r="E18" t="str">
            <v>Boca de BTTC ø = 0,60 m, em concreto ciclópico, alas retas - esconsidade 0°</v>
          </cell>
        </row>
        <row r="63">
          <cell r="L63">
            <v>1032.1500000000001</v>
          </cell>
        </row>
      </sheetData>
      <sheetData sheetId="94" refreshError="1">
        <row r="7">
          <cell r="L7" t="str">
            <v>6.33</v>
          </cell>
        </row>
        <row r="18">
          <cell r="E18" t="str">
            <v>Boca de BTTC ø = 0,80 m, em concreto ciclópico, alas retas - esconsidade 0°</v>
          </cell>
        </row>
        <row r="63">
          <cell r="L63">
            <v>1893.08</v>
          </cell>
        </row>
      </sheetData>
      <sheetData sheetId="95" refreshError="1">
        <row r="7">
          <cell r="L7" t="str">
            <v>6.34</v>
          </cell>
        </row>
        <row r="18">
          <cell r="E18" t="str">
            <v>Boca de BTTC ø = 1,00 m, em concreto ciclópico, alas retas - esconsidade 0°</v>
          </cell>
        </row>
        <row r="63">
          <cell r="L63">
            <v>2503.77</v>
          </cell>
        </row>
      </sheetData>
      <sheetData sheetId="96" refreshError="1">
        <row r="7">
          <cell r="L7" t="str">
            <v>6.35</v>
          </cell>
        </row>
        <row r="18">
          <cell r="E18" t="str">
            <v>Boca de BTTC ø = 1,20 m, em concreto ciclópico, alas retas - esconsidade 0°</v>
          </cell>
        </row>
        <row r="63">
          <cell r="L63">
            <v>3315.46</v>
          </cell>
        </row>
      </sheetData>
      <sheetData sheetId="97" refreshError="1">
        <row r="7">
          <cell r="L7" t="str">
            <v>6.36</v>
          </cell>
        </row>
        <row r="18">
          <cell r="E18" t="str">
            <v>Boca de BTTC ø = 1,50 m, em concreto ciclópico, alas retas - esconsidade 0°</v>
          </cell>
        </row>
        <row r="63">
          <cell r="L63">
            <v>5383.84</v>
          </cell>
        </row>
      </sheetData>
      <sheetData sheetId="98" refreshError="1">
        <row r="7">
          <cell r="L7" t="str">
            <v>6.19</v>
          </cell>
        </row>
        <row r="18">
          <cell r="E18" t="str">
            <v>Boca de BSTC ø = 0,40 m, em pedra argamassada, alas retas - esconsidade 0°</v>
          </cell>
        </row>
        <row r="63">
          <cell r="L63">
            <v>197.13</v>
          </cell>
        </row>
      </sheetData>
      <sheetData sheetId="99" refreshError="1">
        <row r="18">
          <cell r="E18" t="str">
            <v>Boca de BSTC ø = 0,60 m, em pedra argamassada, alas retas - esconsidade 0°</v>
          </cell>
        </row>
      </sheetData>
      <sheetData sheetId="100" refreshError="1">
        <row r="7">
          <cell r="L7" t="str">
            <v>6.21</v>
          </cell>
        </row>
        <row r="18">
          <cell r="E18" t="str">
            <v>Boca de BSTC ø = 0,80 m, em pedra argamassada, alas retas - esconsidade 0°</v>
          </cell>
        </row>
        <row r="63">
          <cell r="L63">
            <v>593.89</v>
          </cell>
        </row>
      </sheetData>
      <sheetData sheetId="101" refreshError="1">
        <row r="18">
          <cell r="E18" t="str">
            <v>Boca de BSTC ø = 1,00 m, em pedra argamassada, alas retas - esconsidade 0°</v>
          </cell>
        </row>
      </sheetData>
      <sheetData sheetId="102" refreshError="1">
        <row r="7">
          <cell r="L7" t="str">
            <v>6.23</v>
          </cell>
        </row>
        <row r="18">
          <cell r="E18" t="str">
            <v>Boca de BSTC ø = 1,20 m, em pedra argamassada, alas retas - esconsidade 0°</v>
          </cell>
        </row>
        <row r="63">
          <cell r="L63">
            <v>1092.31</v>
          </cell>
        </row>
      </sheetData>
      <sheetData sheetId="103" refreshError="1">
        <row r="7">
          <cell r="L7" t="str">
            <v>6.24</v>
          </cell>
        </row>
        <row r="18">
          <cell r="E18" t="str">
            <v>Boca de BSTC ø = 1,50 m, em pedra argamassada, alas retas - esconsidade 0°</v>
          </cell>
        </row>
        <row r="63">
          <cell r="L63">
            <v>1954.53</v>
          </cell>
        </row>
      </sheetData>
      <sheetData sheetId="104" refreshError="1">
        <row r="7">
          <cell r="L7" t="str">
            <v>6.25</v>
          </cell>
        </row>
        <row r="18">
          <cell r="E18" t="str">
            <v>Boca de BDTC ø = 0,40 m, em pedra argamassada, alas retas - esconsidade 0°</v>
          </cell>
        </row>
        <row r="63">
          <cell r="L63">
            <v>292.98</v>
          </cell>
        </row>
      </sheetData>
      <sheetData sheetId="105" refreshError="1">
        <row r="18">
          <cell r="E18" t="str">
            <v>Boca de BDTC ø = 0,60 m, em pedra argamassada, alas retas - esconsidade 0°</v>
          </cell>
        </row>
      </sheetData>
      <sheetData sheetId="106" refreshError="1">
        <row r="7">
          <cell r="L7" t="str">
            <v>6.27</v>
          </cell>
        </row>
        <row r="18">
          <cell r="E18" t="str">
            <v>Boca de BDTC ø = 0,80 m, em pedra argamassada, alas retas - esconsidade 0°</v>
          </cell>
        </row>
        <row r="63">
          <cell r="L63">
            <v>845.69</v>
          </cell>
        </row>
      </sheetData>
      <sheetData sheetId="107" refreshError="1">
        <row r="18">
          <cell r="E18" t="str">
            <v>Boca de BDTC ø = 1,00 m, em pedra argamassada, alas retas - esconsidade 0°</v>
          </cell>
        </row>
      </sheetData>
      <sheetData sheetId="108" refreshError="1">
        <row r="7">
          <cell r="L7" t="str">
            <v>6.29</v>
          </cell>
        </row>
        <row r="18">
          <cell r="E18" t="str">
            <v>Boca de BDTC ø = 1,20 m, em pedra argamassada, alas retas - esconsidade 0°</v>
          </cell>
        </row>
        <row r="63">
          <cell r="L63">
            <v>1551.21</v>
          </cell>
        </row>
      </sheetData>
      <sheetData sheetId="109" refreshError="1">
        <row r="7">
          <cell r="L7" t="str">
            <v>6.30</v>
          </cell>
        </row>
        <row r="18">
          <cell r="E18" t="str">
            <v>Boca de BDTC ø = 1,50 m, em pedra argamassada, alas retas - esconsidade 0°</v>
          </cell>
        </row>
        <row r="63">
          <cell r="L63">
            <v>2720.61</v>
          </cell>
        </row>
      </sheetData>
      <sheetData sheetId="110" refreshError="1">
        <row r="7">
          <cell r="L7" t="str">
            <v>6.31</v>
          </cell>
        </row>
        <row r="18">
          <cell r="E18" t="str">
            <v>Boca de BTTC ø = 0,40 m, em pedra argamassada, alas retas - esconsidade 0°</v>
          </cell>
        </row>
        <row r="63">
          <cell r="L63">
            <v>387.62</v>
          </cell>
        </row>
      </sheetData>
      <sheetData sheetId="111" refreshError="1">
        <row r="7">
          <cell r="L7" t="str">
            <v>6.32</v>
          </cell>
        </row>
        <row r="18">
          <cell r="E18" t="str">
            <v>Boca de BTTC ø = 0,60 m, em pedra argamassada, alas retas - esconsidade 0°</v>
          </cell>
        </row>
        <row r="63">
          <cell r="L63">
            <v>550.53</v>
          </cell>
        </row>
      </sheetData>
      <sheetData sheetId="112" refreshError="1">
        <row r="7">
          <cell r="L7" t="str">
            <v>6.33</v>
          </cell>
        </row>
        <row r="18">
          <cell r="E18" t="str">
            <v>Boca de BTTC ø = 0,80 m, em pedra argamassada, alas retas - esconsidade 0°</v>
          </cell>
        </row>
        <row r="63">
          <cell r="L63">
            <v>1097.53</v>
          </cell>
        </row>
      </sheetData>
      <sheetData sheetId="113" refreshError="1">
        <row r="7">
          <cell r="L7" t="str">
            <v>6.34</v>
          </cell>
        </row>
        <row r="18">
          <cell r="E18" t="str">
            <v>Boca de BTTC ø = 1,00 m, em pedra argamassada, alas retas - esconsidade 0°</v>
          </cell>
        </row>
        <row r="63">
          <cell r="L63">
            <v>1440.69</v>
          </cell>
        </row>
      </sheetData>
      <sheetData sheetId="114" refreshError="1">
        <row r="7">
          <cell r="L7" t="str">
            <v>6.35</v>
          </cell>
        </row>
        <row r="18">
          <cell r="E18" t="str">
            <v>Boca de BTTC ø = 1,20 m, em pedra argamassada, alas retas - esconsidade 0°</v>
          </cell>
        </row>
        <row r="63">
          <cell r="L63">
            <v>2010.14</v>
          </cell>
        </row>
      </sheetData>
      <sheetData sheetId="115" refreshError="1">
        <row r="7">
          <cell r="L7" t="str">
            <v>6.36</v>
          </cell>
        </row>
        <row r="18">
          <cell r="E18" t="str">
            <v>Boca de BTTC ø = 1,50 m, em pedra argamassada, alas retas - esconsidade 0°</v>
          </cell>
        </row>
        <row r="63">
          <cell r="L63">
            <v>3486.68</v>
          </cell>
        </row>
      </sheetData>
      <sheetData sheetId="116" refreshError="1">
        <row r="7">
          <cell r="L7" t="str">
            <v>6.37</v>
          </cell>
        </row>
        <row r="18">
          <cell r="E18" t="str">
            <v>Escavação mecânica de vala em material de 1ª categoria</v>
          </cell>
          <cell r="L18" t="str">
            <v>m³</v>
          </cell>
        </row>
        <row r="66">
          <cell r="L66">
            <v>8.14</v>
          </cell>
        </row>
      </sheetData>
      <sheetData sheetId="117" refreshError="1">
        <row r="7">
          <cell r="L7" t="str">
            <v>6.38</v>
          </cell>
        </row>
        <row r="18">
          <cell r="E18" t="str">
            <v>Reaterro e compactação com soquete vibratório</v>
          </cell>
          <cell r="L18" t="str">
            <v>m³</v>
          </cell>
        </row>
        <row r="69">
          <cell r="L69">
            <v>15.89</v>
          </cell>
        </row>
      </sheetData>
      <sheetData sheetId="118" refreshError="1">
        <row r="7">
          <cell r="L7" t="str">
            <v>6.39</v>
          </cell>
        </row>
        <row r="69">
          <cell r="L69">
            <v>0</v>
          </cell>
        </row>
      </sheetData>
      <sheetData sheetId="119" refreshError="1">
        <row r="7">
          <cell r="L7" t="str">
            <v>6.40</v>
          </cell>
        </row>
        <row r="69">
          <cell r="L69">
            <v>0</v>
          </cell>
        </row>
      </sheetData>
      <sheetData sheetId="120" refreshError="1">
        <row r="7">
          <cell r="L7" t="str">
            <v>6.41</v>
          </cell>
        </row>
        <row r="69">
          <cell r="L69">
            <v>0</v>
          </cell>
        </row>
      </sheetData>
      <sheetData sheetId="121" refreshError="1">
        <row r="61">
          <cell r="F61">
            <v>2.5710000000000002</v>
          </cell>
        </row>
        <row r="86">
          <cell r="E86">
            <v>4.1124999999999998</v>
          </cell>
        </row>
      </sheetData>
      <sheetData sheetId="122" refreshError="1">
        <row r="7">
          <cell r="L7" t="str">
            <v>7.1</v>
          </cell>
        </row>
        <row r="18">
          <cell r="E18" t="str">
            <v>Ponte em madeira de lei LEGALIZADA (peças aparelhadas), com vigamento simples e fundação em estacas cravadas, com largura mínima de 5,00 m (exceto alas para contenção de aterro) - Dados da ponte devem ser informados na planilha Quant. Ponte Madeira</v>
          </cell>
          <cell r="L18" t="str">
            <v>m</v>
          </cell>
        </row>
      </sheetData>
      <sheetData sheetId="123" refreshError="1">
        <row r="7">
          <cell r="L7" t="str">
            <v>7.2</v>
          </cell>
        </row>
        <row r="18">
          <cell r="E18" t="str">
            <v>Ala de contenção de aterro para ponte em madeira de lei LEGALIZADA (peças aparelhadas), fundação em estacas cravadas, com largura mínima de 5,00 m  - Dados das alas devem ser informados na planilha Quant. Ponte Madeira</v>
          </cell>
          <cell r="L18" t="str">
            <v xml:space="preserve">un </v>
          </cell>
        </row>
      </sheetData>
      <sheetData sheetId="124" refreshError="1">
        <row r="7">
          <cell r="L7" t="str">
            <v>7.3</v>
          </cell>
        </row>
        <row r="18">
          <cell r="E18" t="str">
            <v>Ponte mista em pedra argamassada e madeira de lei LEGALIZADA (peças aparelhadas), largura mínima de 5,00 m, inclusive imunização total das madeiras.</v>
          </cell>
          <cell r="L18" t="str">
            <v>m</v>
          </cell>
        </row>
        <row r="69">
          <cell r="L69">
            <v>6873.34</v>
          </cell>
        </row>
      </sheetData>
      <sheetData sheetId="125" refreshError="1">
        <row r="7">
          <cell r="L7" t="str">
            <v>7.4</v>
          </cell>
        </row>
        <row r="18">
          <cell r="E18" t="str">
            <v>Pontilhão em madeira de lei LEGALIZADA pranchado (peças aparelhadas), com largura mínima de 4,20 m.</v>
          </cell>
          <cell r="L18" t="str">
            <v>m</v>
          </cell>
        </row>
        <row r="69">
          <cell r="L69">
            <v>4240.97</v>
          </cell>
        </row>
      </sheetData>
      <sheetData sheetId="126" refreshError="1">
        <row r="7">
          <cell r="L7" t="str">
            <v>7.5</v>
          </cell>
        </row>
        <row r="18">
          <cell r="E18" t="str">
            <v>Ponte em estrutura mista (concreto e madeira de lei LEGALIZADA - peças aparelhadas), com vigamento simples e fundação em estacas cravadas (madeira e/ou concreto), largura mínima de 5,00 m. Elementos em concreto armado =&gt; blocos, pilares, transversinas, vi</v>
          </cell>
        </row>
        <row r="69">
          <cell r="L69">
            <v>0</v>
          </cell>
        </row>
      </sheetData>
      <sheetData sheetId="127" refreshError="1">
        <row r="7">
          <cell r="L7" t="str">
            <v>7.6</v>
          </cell>
        </row>
        <row r="18">
          <cell r="E18" t="str">
            <v xml:space="preserve">Ponte em estrutura de concreto armado largura mínima de 5,00 m (deverá ser elaborado o projeto estrutural da ponte, bem como orçamento específico para apresentação da proposta) </v>
          </cell>
        </row>
        <row r="69">
          <cell r="L69">
            <v>0</v>
          </cell>
        </row>
      </sheetData>
      <sheetData sheetId="128" refreshError="1">
        <row r="7">
          <cell r="L7" t="str">
            <v>7.7</v>
          </cell>
        </row>
        <row r="18">
          <cell r="E18" t="str">
            <v>Fornecimento e implantação de placa de advertência para sinalização de obras de arte especiais, em chapa de aço galvanizado nº 16, película retrorrefletiva tipo I + SI, com suporte e travessa em madeira de lei tratada 8 x 8 cm. (Informar as medidas das pl</v>
          </cell>
          <cell r="L18" t="str">
            <v xml:space="preserve">un </v>
          </cell>
        </row>
        <row r="65">
          <cell r="E65" t="str">
            <v>Ponte estreita, código A-22 (amar)</v>
          </cell>
          <cell r="F65">
            <v>0.8</v>
          </cell>
          <cell r="G65">
            <v>0.8</v>
          </cell>
          <cell r="L65">
            <v>557.76</v>
          </cell>
        </row>
        <row r="66">
          <cell r="E66" t="str">
            <v>Identificação de OAE (azul)</v>
          </cell>
          <cell r="F66">
            <v>1.5</v>
          </cell>
          <cell r="G66">
            <v>1</v>
          </cell>
          <cell r="L66">
            <v>1182.24</v>
          </cell>
        </row>
        <row r="67">
          <cell r="E67" t="str">
            <v>Marcador de alinhamento (amar.)</v>
          </cell>
          <cell r="F67">
            <v>0.5</v>
          </cell>
          <cell r="G67">
            <v>0.6</v>
          </cell>
          <cell r="L67">
            <v>372.03</v>
          </cell>
        </row>
      </sheetData>
      <sheetData sheetId="129" refreshError="1">
        <row r="7">
          <cell r="L7" t="str">
            <v>7.8</v>
          </cell>
        </row>
        <row r="18">
          <cell r="E18" t="str">
            <v>Mata burro com estrutura em perfis de aço e concreto (Incluso transporte) - Preencher os campos da DMT dessa composição</v>
          </cell>
          <cell r="L18" t="str">
            <v xml:space="preserve">un </v>
          </cell>
        </row>
        <row r="67">
          <cell r="L67">
            <v>5249.83</v>
          </cell>
        </row>
      </sheetData>
      <sheetData sheetId="130" refreshError="1">
        <row r="7">
          <cell r="L7" t="str">
            <v>7.9</v>
          </cell>
        </row>
        <row r="18">
          <cell r="E18" t="str">
            <v>Passagem molhada em alvenaria de pedra argamassada 1:4 (largura livre de 5,00 m), inclusive enrocamento de pedra de mão à jusante (largura mínima de 3,00 m)</v>
          </cell>
          <cell r="L18" t="str">
            <v>m</v>
          </cell>
        </row>
        <row r="67">
          <cell r="L67">
            <v>1507.86</v>
          </cell>
        </row>
      </sheetData>
      <sheetData sheetId="131" refreshError="1">
        <row r="7">
          <cell r="L7" t="str">
            <v>7.10</v>
          </cell>
        </row>
        <row r="18">
          <cell r="E18" t="str">
            <v>Conjunto de placas para sinalização provisória de execução de obras, com películas retrorrefletivas do tipo VIII e do tipo I + X, inclusive cavaletes</v>
          </cell>
          <cell r="L18" t="str">
            <v>cj</v>
          </cell>
        </row>
        <row r="49">
          <cell r="D49" t="str">
            <v>Placa refletiva de sinalização de obra (de Regulamentação, diâmetro de 0,60 m), película tipo I + X, inclusive cavalete - utilização 10 vezes</v>
          </cell>
        </row>
        <row r="50">
          <cell r="D50" t="str">
            <v>Placa refletiva de sinalização de obra (de Regulamentação - [1,00 x 0,60]m), película tipo I + X, inclusive cavalete - utilização 10 vezes</v>
          </cell>
        </row>
        <row r="51">
          <cell r="D51" t="str">
            <v>Placa refletiva de sinalização de obra (Barreira de Sinalização Tipo II - [1,50 x 0,30]m), película tipo VIII, direcionamento ou bloqueio - utilização 10 vezes</v>
          </cell>
        </row>
        <row r="68">
          <cell r="L68">
            <v>0</v>
          </cell>
        </row>
      </sheetData>
      <sheetData sheetId="132" refreshError="1">
        <row r="7">
          <cell r="L7" t="str">
            <v>7.11</v>
          </cell>
        </row>
        <row r="69">
          <cell r="L69">
            <v>0</v>
          </cell>
        </row>
      </sheetData>
      <sheetData sheetId="133" refreshError="1">
        <row r="7">
          <cell r="L7" t="str">
            <v>7.12</v>
          </cell>
        </row>
        <row r="69">
          <cell r="L69">
            <v>0</v>
          </cell>
        </row>
      </sheetData>
      <sheetData sheetId="134" refreshError="1">
        <row r="7">
          <cell r="L7" t="str">
            <v>7.13</v>
          </cell>
        </row>
        <row r="69">
          <cell r="L69">
            <v>0</v>
          </cell>
        </row>
      </sheetData>
      <sheetData sheetId="135" refreshError="1">
        <row r="7">
          <cell r="L7" t="str">
            <v>8.1</v>
          </cell>
        </row>
        <row r="18">
          <cell r="E18" t="str">
            <v>Escavação e carga de material de jazida com escavadeira hidráulica</v>
          </cell>
          <cell r="L18" t="str">
            <v>m³</v>
          </cell>
        </row>
      </sheetData>
      <sheetData sheetId="136" refreshError="1">
        <row r="7">
          <cell r="L7" t="str">
            <v>8.2</v>
          </cell>
        </row>
        <row r="18">
          <cell r="E18" t="str">
            <v>Transporte com caminhão basculante de 10 m³ - rodovia em leito natural</v>
          </cell>
          <cell r="L18" t="str">
            <v>t x km</v>
          </cell>
        </row>
      </sheetData>
      <sheetData sheetId="137" refreshError="1">
        <row r="7">
          <cell r="L7" t="str">
            <v>8.3</v>
          </cell>
        </row>
        <row r="18">
          <cell r="E18" t="str">
            <v>Transporte com caminhão basculante de 10 m³ - rodovia com revestimento primário</v>
          </cell>
          <cell r="L18" t="str">
            <v>t x km</v>
          </cell>
        </row>
        <row r="66">
          <cell r="L66">
            <v>0.81</v>
          </cell>
        </row>
      </sheetData>
      <sheetData sheetId="138" refreshError="1">
        <row r="18">
          <cell r="E18" t="str">
            <v>Compactação de material de revestimento a 95 % do proctor normal (inclusos o espalhamento e a conformação da plataforma)</v>
          </cell>
          <cell r="L18" t="str">
            <v>m³</v>
          </cell>
        </row>
      </sheetData>
      <sheetData sheetId="139" refreshError="1">
        <row r="7">
          <cell r="L7" t="str">
            <v>8.5</v>
          </cell>
        </row>
        <row r="18">
          <cell r="E18" t="str">
            <v>Base estabilizada granulometricamente com mistura solo brita (70% - 30%) na pista com material de jazida e brita comercial (inclusos o espalhamento, a conformação e a compactação da plataforma)</v>
          </cell>
          <cell r="L18" t="str">
            <v>m³</v>
          </cell>
        </row>
        <row r="66">
          <cell r="L66">
            <v>50.51</v>
          </cell>
        </row>
      </sheetData>
      <sheetData sheetId="140" refreshError="1">
        <row r="7">
          <cell r="L7" t="str">
            <v>8.6</v>
          </cell>
        </row>
        <row r="69">
          <cell r="L69">
            <v>0</v>
          </cell>
        </row>
      </sheetData>
      <sheetData sheetId="141" refreshError="1">
        <row r="7">
          <cell r="L7" t="str">
            <v>8.7</v>
          </cell>
        </row>
        <row r="69">
          <cell r="L69">
            <v>0</v>
          </cell>
        </row>
      </sheetData>
      <sheetData sheetId="142" refreshError="1">
        <row r="7">
          <cell r="L7" t="str">
            <v>9.1</v>
          </cell>
        </row>
        <row r="18">
          <cell r="E18" t="str">
            <v>Prenchimento da jazida com material orgânico proveniente do seu decapeamento</v>
          </cell>
          <cell r="L18" t="str">
            <v>m³</v>
          </cell>
        </row>
      </sheetData>
      <sheetData sheetId="143" refreshError="1">
        <row r="7">
          <cell r="L7" t="str">
            <v>9.2</v>
          </cell>
        </row>
        <row r="18">
          <cell r="E18" t="str">
            <v>Semeadura manual (pó calcário, adubos NPK, orgânico, potássio, fósforo enxofre e sementes)</v>
          </cell>
          <cell r="L18" t="str">
            <v>m²</v>
          </cell>
        </row>
      </sheetData>
      <sheetData sheetId="144" refreshError="1">
        <row r="7">
          <cell r="L7" t="str">
            <v>9.3</v>
          </cell>
        </row>
        <row r="69">
          <cell r="L69">
            <v>0</v>
          </cell>
        </row>
      </sheetData>
      <sheetData sheetId="145" refreshError="1">
        <row r="7">
          <cell r="L7" t="str">
            <v>9.4</v>
          </cell>
        </row>
        <row r="69">
          <cell r="L69">
            <v>0</v>
          </cell>
        </row>
      </sheetData>
      <sheetData sheetId="146" refreshError="1">
        <row r="7">
          <cell r="L7" t="str">
            <v>9.5</v>
          </cell>
        </row>
        <row r="69">
          <cell r="L69">
            <v>0</v>
          </cell>
        </row>
      </sheetData>
      <sheetData sheetId="147" refreshError="1"/>
      <sheetData sheetId="148" refreshError="1"/>
      <sheetData sheetId="149" refreshError="1"/>
      <sheetData sheetId="150" refreshError="1">
        <row r="6">
          <cell r="L6" t="str">
            <v>INCRA A</v>
          </cell>
        </row>
        <row r="7">
          <cell r="L7" t="str">
            <v>004</v>
          </cell>
        </row>
        <row r="18">
          <cell r="E18" t="str">
            <v>Formas de tábuas de pinho - utilização de 3 vezes - fornecimento, instalação e retirada</v>
          </cell>
          <cell r="L18" t="str">
            <v>m²</v>
          </cell>
        </row>
      </sheetData>
      <sheetData sheetId="151" refreshError="1">
        <row r="6">
          <cell r="L6" t="str">
            <v>INCRA A</v>
          </cell>
        </row>
        <row r="7">
          <cell r="L7" t="str">
            <v>005</v>
          </cell>
        </row>
        <row r="18">
          <cell r="E18" t="str">
            <v>Argamassa de cimento e areia 1:3 - areia comercial</v>
          </cell>
        </row>
      </sheetData>
      <sheetData sheetId="152" refreshError="1">
        <row r="6">
          <cell r="L6" t="str">
            <v>INCRA A</v>
          </cell>
        </row>
        <row r="7">
          <cell r="L7" t="str">
            <v>006</v>
          </cell>
        </row>
        <row r="18">
          <cell r="E18" t="str">
            <v>Argamassa de cimento e areia 1:4 - areia comercial</v>
          </cell>
          <cell r="L18" t="str">
            <v>m³</v>
          </cell>
        </row>
      </sheetData>
      <sheetData sheetId="153" refreshError="1"/>
      <sheetData sheetId="154" refreshError="1"/>
      <sheetData sheetId="155" refreshError="1">
        <row r="18">
          <cell r="E18" t="str">
            <v>Concreto fck = 20 MPa - confecção em betoneira e lançamento manual - areia e brita comerciais</v>
          </cell>
          <cell r="L18" t="str">
            <v>m³</v>
          </cell>
        </row>
      </sheetData>
      <sheetData sheetId="156" refreshError="1">
        <row r="6">
          <cell r="L6" t="str">
            <v>INCRA A</v>
          </cell>
        </row>
        <row r="7">
          <cell r="L7" t="str">
            <v>010</v>
          </cell>
        </row>
        <row r="18">
          <cell r="E18" t="str">
            <v>Concreto ciclópico fck = 20 MPa - confecção em betoneira e lançamento manual - areia, brita e pedra de mão comerciais</v>
          </cell>
          <cell r="L18" t="str">
            <v>m³</v>
          </cell>
        </row>
      </sheetData>
      <sheetData sheetId="157" refreshError="1"/>
      <sheetData sheetId="158" refreshError="1">
        <row r="6">
          <cell r="L6" t="str">
            <v>INCRA A</v>
          </cell>
        </row>
        <row r="7">
          <cell r="L7" t="str">
            <v>012</v>
          </cell>
        </row>
        <row r="18">
          <cell r="E18" t="str">
            <v>Pintura imunizante para madeira, duas demãos</v>
          </cell>
          <cell r="L18" t="str">
            <v>m²</v>
          </cell>
        </row>
      </sheetData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>
        <row r="7">
          <cell r="H7">
            <v>4.0641999999999996</v>
          </cell>
          <cell r="I7">
            <v>0.43730000000000002</v>
          </cell>
        </row>
        <row r="9">
          <cell r="H9">
            <v>0.4</v>
          </cell>
          <cell r="I9">
            <v>0.15670000000000001</v>
          </cell>
        </row>
        <row r="20">
          <cell r="H20">
            <v>5.3186</v>
          </cell>
          <cell r="I20">
            <v>0.65049999999999997</v>
          </cell>
        </row>
        <row r="22">
          <cell r="H22">
            <v>0.4</v>
          </cell>
          <cell r="I22">
            <v>0.3135</v>
          </cell>
        </row>
      </sheetData>
      <sheetData sheetId="174" refreshError="1"/>
      <sheetData sheetId="175" refreshError="1">
        <row r="7">
          <cell r="H7">
            <v>9.0662000000000003</v>
          </cell>
          <cell r="I7">
            <v>1.3915</v>
          </cell>
        </row>
        <row r="9">
          <cell r="H9">
            <v>0.3</v>
          </cell>
          <cell r="I9">
            <v>0.33839999999999998</v>
          </cell>
        </row>
        <row r="19">
          <cell r="H19">
            <v>11.584</v>
          </cell>
          <cell r="I19">
            <v>2.0095999999999998</v>
          </cell>
        </row>
        <row r="21">
          <cell r="H21">
            <v>0.3</v>
          </cell>
          <cell r="I21">
            <v>0.67679999999999996</v>
          </cell>
        </row>
      </sheetData>
      <sheetData sheetId="176" refreshError="1"/>
      <sheetData sheetId="177" refreshError="1"/>
      <sheetData sheetId="1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opLeftCell="A10" zoomScale="80" zoomScaleNormal="80" workbookViewId="0">
      <selection sqref="A1:B1"/>
    </sheetView>
  </sheetViews>
  <sheetFormatPr defaultColWidth="9.21875" defaultRowHeight="13.2" x14ac:dyDescent="0.25"/>
  <cols>
    <col min="1" max="1" width="10.6640625" style="1" customWidth="1"/>
    <col min="2" max="3" width="15.6640625" style="1" customWidth="1"/>
    <col min="4" max="4" width="7.6640625" style="1" customWidth="1"/>
    <col min="5" max="5" width="11.5546875" style="1" customWidth="1"/>
    <col min="6" max="6" width="10.21875" style="1" customWidth="1"/>
    <col min="7" max="7" width="58.88671875" style="1" customWidth="1"/>
    <col min="8" max="8" width="10.21875" style="1" customWidth="1"/>
    <col min="9" max="16384" width="9.21875" style="1"/>
  </cols>
  <sheetData>
    <row r="1" spans="1:9" ht="20.25" customHeight="1" x14ac:dyDescent="0.25">
      <c r="A1" s="1490"/>
      <c r="B1" s="1490"/>
      <c r="C1" s="1491" t="s">
        <v>0</v>
      </c>
      <c r="D1" s="1491"/>
      <c r="E1" s="1491"/>
      <c r="F1" s="1491"/>
      <c r="G1" s="1491"/>
      <c r="H1" s="1491"/>
      <c r="I1" s="2"/>
    </row>
    <row r="2" spans="1:9" ht="19.5" customHeight="1" x14ac:dyDescent="0.25">
      <c r="A2" s="1492"/>
      <c r="B2" s="1492"/>
      <c r="C2" s="1493" t="s">
        <v>1</v>
      </c>
      <c r="D2" s="1493"/>
      <c r="E2" s="1493"/>
      <c r="F2" s="1493"/>
      <c r="G2" s="1493"/>
      <c r="H2" s="1493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ht="22.5" customHeight="1" x14ac:dyDescent="0.25">
      <c r="A4" s="1494" t="s">
        <v>2</v>
      </c>
      <c r="B4" s="1494"/>
      <c r="C4" s="1494"/>
      <c r="D4" s="1494"/>
      <c r="E4" s="1494"/>
      <c r="F4" s="1494"/>
      <c r="G4" s="1494"/>
      <c r="H4" s="1494"/>
      <c r="I4" s="2"/>
    </row>
    <row r="5" spans="1:9" ht="8.25" customHeight="1" x14ac:dyDescent="0.25">
      <c r="A5" s="4"/>
      <c r="B5" s="4"/>
      <c r="C5" s="4"/>
      <c r="D5" s="4"/>
      <c r="E5" s="4"/>
      <c r="F5" s="4"/>
      <c r="G5" s="4"/>
      <c r="H5" s="4"/>
      <c r="I5" s="2"/>
    </row>
    <row r="6" spans="1:9" s="11" customFormat="1" ht="15" customHeight="1" x14ac:dyDescent="0.25">
      <c r="A6" s="5" t="s">
        <v>3</v>
      </c>
      <c r="B6" s="6" t="str">
        <f>'[1]Informações de entrada'!C11</f>
        <v>Construção / Recuperação e complementação de estradas vicinais</v>
      </c>
      <c r="C6" s="7"/>
      <c r="D6" s="8"/>
      <c r="E6" s="8"/>
      <c r="F6" s="8"/>
      <c r="G6" s="9"/>
      <c r="H6" s="1489" t="s">
        <v>4</v>
      </c>
      <c r="I6" s="10"/>
    </row>
    <row r="7" spans="1:9" s="11" customFormat="1" ht="14.4" x14ac:dyDescent="0.25">
      <c r="A7" s="12" t="s">
        <v>5</v>
      </c>
      <c r="B7" s="13" t="str">
        <f>'[1]Informações de entrada'!C21</f>
        <v>PA Manoel Crescêncio de Souza</v>
      </c>
      <c r="C7" s="14"/>
      <c r="D7" s="15"/>
      <c r="E7" s="15"/>
      <c r="F7" s="15"/>
      <c r="G7" s="16"/>
      <c r="H7" s="1489"/>
      <c r="I7" s="10"/>
    </row>
    <row r="8" spans="1:9" s="11" customFormat="1" ht="14.4" x14ac:dyDescent="0.25">
      <c r="A8" s="12" t="s">
        <v>6</v>
      </c>
      <c r="B8" s="13" t="str">
        <f>'[1]Informações de entrada'!C7</f>
        <v>Prefeitura Municipal de Aurora do Pará</v>
      </c>
      <c r="C8" s="14"/>
      <c r="D8" s="15"/>
      <c r="E8" s="15"/>
      <c r="F8" s="15"/>
      <c r="G8" s="17"/>
      <c r="H8" s="1502">
        <f>E34</f>
        <v>13.1</v>
      </c>
      <c r="I8" s="10"/>
    </row>
    <row r="9" spans="1:9" s="11" customFormat="1" ht="14.4" x14ac:dyDescent="0.25">
      <c r="A9" s="18" t="s">
        <v>7</v>
      </c>
      <c r="B9" s="19" t="str">
        <f>'[1]Informações de entrada'!C25</f>
        <v>OREGON 650</v>
      </c>
      <c r="C9" s="20"/>
      <c r="D9" s="21"/>
      <c r="E9" s="21"/>
      <c r="F9" s="22" t="s">
        <v>8</v>
      </c>
      <c r="G9" s="23">
        <f>'[1]Informações de entrada'!C27</f>
        <v>44454</v>
      </c>
      <c r="H9" s="1502"/>
      <c r="I9" s="10"/>
    </row>
    <row r="10" spans="1:9" s="11" customFormat="1" ht="8.25" customHeight="1" x14ac:dyDescent="0.25">
      <c r="A10" s="24"/>
      <c r="B10" s="24"/>
      <c r="C10" s="24"/>
      <c r="D10" s="24"/>
      <c r="E10" s="24"/>
      <c r="F10" s="24"/>
      <c r="G10" s="24"/>
      <c r="H10" s="24"/>
      <c r="I10" s="10"/>
    </row>
    <row r="11" spans="1:9" s="11" customFormat="1" ht="20.100000000000001" customHeight="1" x14ac:dyDescent="0.25">
      <c r="A11" s="1495" t="s">
        <v>9</v>
      </c>
      <c r="B11" s="1496" t="s">
        <v>10</v>
      </c>
      <c r="C11" s="1496"/>
      <c r="D11" s="25" t="s">
        <v>11</v>
      </c>
      <c r="E11" s="1497" t="s">
        <v>12</v>
      </c>
      <c r="F11" s="1497" t="s">
        <v>13</v>
      </c>
      <c r="G11" s="1498" t="s">
        <v>14</v>
      </c>
      <c r="H11" s="1503" t="s">
        <v>15</v>
      </c>
      <c r="I11" s="10"/>
    </row>
    <row r="12" spans="1:9" s="11" customFormat="1" ht="20.100000000000001" customHeight="1" x14ac:dyDescent="0.25">
      <c r="A12" s="1495"/>
      <c r="B12" s="26" t="s">
        <v>16</v>
      </c>
      <c r="C12" s="27" t="s">
        <v>17</v>
      </c>
      <c r="D12" s="28" t="s">
        <v>18</v>
      </c>
      <c r="E12" s="1497"/>
      <c r="F12" s="1497"/>
      <c r="G12" s="1498"/>
      <c r="H12" s="1503"/>
      <c r="I12" s="10"/>
    </row>
    <row r="13" spans="1:9" s="36" customFormat="1" ht="19.5" customHeight="1" x14ac:dyDescent="0.25">
      <c r="A13" s="29" t="s">
        <v>19</v>
      </c>
      <c r="B13" s="30"/>
      <c r="C13" s="31"/>
      <c r="D13" s="32"/>
      <c r="E13" s="32"/>
      <c r="F13" s="32"/>
      <c r="G13" s="33"/>
      <c r="H13" s="34"/>
      <c r="I13" s="35"/>
    </row>
    <row r="14" spans="1:9" s="43" customFormat="1" ht="15" customHeight="1" x14ac:dyDescent="0.25">
      <c r="A14" s="37"/>
      <c r="B14" s="38"/>
      <c r="C14" s="38"/>
      <c r="D14" s="38"/>
      <c r="E14" s="39"/>
      <c r="F14" s="39">
        <v>0</v>
      </c>
      <c r="G14" s="40"/>
      <c r="H14" s="41"/>
      <c r="I14" s="42"/>
    </row>
    <row r="15" spans="1:9" s="43" customFormat="1" ht="15" customHeight="1" x14ac:dyDescent="0.3">
      <c r="A15" s="44"/>
      <c r="B15" s="45"/>
      <c r="C15" s="45"/>
      <c r="D15" s="1499" t="s">
        <v>20</v>
      </c>
      <c r="E15" s="1499"/>
      <c r="F15" s="46">
        <v>0</v>
      </c>
      <c r="G15" s="47" t="s">
        <v>21</v>
      </c>
      <c r="H15" s="48"/>
      <c r="I15" s="42"/>
    </row>
    <row r="16" spans="1:9" s="43" customFormat="1" ht="20.100000000000001" customHeight="1" x14ac:dyDescent="0.25">
      <c r="A16" s="49" t="s">
        <v>22</v>
      </c>
      <c r="B16" s="50"/>
      <c r="C16" s="51"/>
      <c r="D16" s="52"/>
      <c r="E16" s="53"/>
      <c r="F16" s="53"/>
      <c r="G16" s="54"/>
      <c r="H16" s="55"/>
      <c r="I16" s="42"/>
    </row>
    <row r="17" spans="1:14" s="43" customFormat="1" x14ac:dyDescent="0.25">
      <c r="A17" s="56" t="s">
        <v>23</v>
      </c>
      <c r="B17" s="57">
        <v>203684.932</v>
      </c>
      <c r="C17" s="58">
        <v>9768248.4350000005</v>
      </c>
      <c r="D17" s="59">
        <v>1</v>
      </c>
      <c r="E17" s="60">
        <v>0</v>
      </c>
      <c r="F17" s="61">
        <v>0</v>
      </c>
      <c r="G17" s="62" t="s">
        <v>24</v>
      </c>
      <c r="H17" s="63"/>
      <c r="I17" s="42"/>
    </row>
    <row r="18" spans="1:14" s="43" customFormat="1" x14ac:dyDescent="0.25">
      <c r="A18" s="56" t="s">
        <v>23</v>
      </c>
      <c r="B18" s="57">
        <v>199966.51300000001</v>
      </c>
      <c r="C18" s="57">
        <v>9767141.9409999996</v>
      </c>
      <c r="D18" s="64">
        <v>1</v>
      </c>
      <c r="E18" s="61">
        <v>5300</v>
      </c>
      <c r="F18" s="61">
        <v>5300</v>
      </c>
      <c r="G18" s="65" t="s">
        <v>25</v>
      </c>
      <c r="H18" s="66"/>
      <c r="I18" s="42"/>
    </row>
    <row r="19" spans="1:14" s="43" customFormat="1" ht="13.5" customHeight="1" x14ac:dyDescent="0.25">
      <c r="A19" s="56" t="s">
        <v>23</v>
      </c>
      <c r="B19" s="57">
        <v>202407.63699999999</v>
      </c>
      <c r="C19" s="57">
        <v>9767324.852</v>
      </c>
      <c r="D19" s="64">
        <v>1</v>
      </c>
      <c r="E19" s="61"/>
      <c r="F19" s="61"/>
      <c r="G19" s="65" t="s">
        <v>26</v>
      </c>
      <c r="H19" s="66"/>
      <c r="I19" s="42"/>
    </row>
    <row r="20" spans="1:14" s="43" customFormat="1" x14ac:dyDescent="0.25">
      <c r="A20" s="56" t="s">
        <v>23</v>
      </c>
      <c r="B20" s="58">
        <v>205671.196</v>
      </c>
      <c r="C20" s="58">
        <v>9764871.3230000008</v>
      </c>
      <c r="D20" s="64">
        <v>1</v>
      </c>
      <c r="E20" s="61">
        <v>4500</v>
      </c>
      <c r="F20" s="61">
        <v>4500</v>
      </c>
      <c r="G20" s="65" t="s">
        <v>27</v>
      </c>
      <c r="H20" s="66"/>
      <c r="I20" s="42"/>
      <c r="N20" s="67"/>
    </row>
    <row r="21" spans="1:14" s="43" customFormat="1" ht="13.35" customHeight="1" x14ac:dyDescent="0.25">
      <c r="A21" s="56" t="s">
        <v>23</v>
      </c>
      <c r="B21" s="58">
        <v>209400.03</v>
      </c>
      <c r="C21" s="58">
        <v>9761445.0590000004</v>
      </c>
      <c r="D21" s="64">
        <v>1</v>
      </c>
      <c r="E21" s="61"/>
      <c r="F21" s="61"/>
      <c r="G21" s="68" t="s">
        <v>28</v>
      </c>
      <c r="H21" s="66"/>
      <c r="I21" s="42"/>
    </row>
    <row r="22" spans="1:14" s="43" customFormat="1" ht="17.399999999999999" customHeight="1" x14ac:dyDescent="0.25">
      <c r="A22" s="56" t="s">
        <v>23</v>
      </c>
      <c r="B22" s="58">
        <v>206375.79399999999</v>
      </c>
      <c r="C22" s="58">
        <v>9762887.9149999991</v>
      </c>
      <c r="D22" s="64">
        <v>1</v>
      </c>
      <c r="E22" s="61">
        <v>3300</v>
      </c>
      <c r="F22" s="61">
        <v>3300</v>
      </c>
      <c r="G22" s="65" t="s">
        <v>29</v>
      </c>
      <c r="H22" s="66"/>
      <c r="I22" s="42"/>
    </row>
    <row r="23" spans="1:14" s="43" customFormat="1" ht="15" customHeight="1" x14ac:dyDescent="0.3">
      <c r="A23" s="44"/>
      <c r="B23" s="45"/>
      <c r="C23" s="45"/>
      <c r="D23" s="1499" t="s">
        <v>20</v>
      </c>
      <c r="E23" s="1499"/>
      <c r="F23" s="46">
        <f>E18+E19+E20+E21+E22</f>
        <v>13100</v>
      </c>
      <c r="G23" s="69" t="s">
        <v>30</v>
      </c>
      <c r="H23" s="48"/>
      <c r="I23" s="42"/>
    </row>
    <row r="24" spans="1:14" s="43" customFormat="1" ht="15" customHeight="1" x14ac:dyDescent="0.25">
      <c r="A24" s="70"/>
      <c r="B24" s="51"/>
      <c r="C24" s="51"/>
      <c r="D24" s="52"/>
      <c r="E24" s="53"/>
      <c r="F24" s="53"/>
      <c r="G24" s="54"/>
      <c r="H24" s="55"/>
      <c r="I24" s="42"/>
    </row>
    <row r="25" spans="1:14" s="43" customFormat="1" ht="18" customHeight="1" x14ac:dyDescent="0.25">
      <c r="A25" s="71" t="s">
        <v>31</v>
      </c>
      <c r="B25" s="72"/>
      <c r="C25" s="72"/>
      <c r="D25" s="73"/>
      <c r="E25" s="74" t="s">
        <v>32</v>
      </c>
      <c r="F25" s="75"/>
      <c r="G25" s="76"/>
      <c r="H25" s="77"/>
      <c r="I25" s="42"/>
    </row>
    <row r="26" spans="1:14" s="43" customFormat="1" ht="18" customHeight="1" x14ac:dyDescent="0.25">
      <c r="A26" s="56" t="s">
        <v>23</v>
      </c>
      <c r="B26" s="57" t="s">
        <v>33</v>
      </c>
      <c r="C26" s="57" t="s">
        <v>34</v>
      </c>
      <c r="D26" s="39">
        <v>1</v>
      </c>
      <c r="E26" s="78">
        <f>300*200</f>
        <v>60000</v>
      </c>
      <c r="F26" s="1500" t="s">
        <v>35</v>
      </c>
      <c r="G26" s="1500"/>
      <c r="H26" s="1500"/>
      <c r="I26" s="42"/>
    </row>
    <row r="27" spans="1:14" s="43" customFormat="1" ht="6.9" customHeight="1" x14ac:dyDescent="0.25">
      <c r="A27" s="79"/>
      <c r="B27" s="80"/>
      <c r="C27" s="80"/>
      <c r="D27" s="81"/>
      <c r="E27" s="81"/>
      <c r="F27" s="81"/>
      <c r="G27" s="82"/>
      <c r="H27" s="83"/>
      <c r="I27" s="42"/>
    </row>
    <row r="28" spans="1:14" s="43" customFormat="1" ht="6.9" customHeight="1" x14ac:dyDescent="0.25">
      <c r="A28" s="84"/>
      <c r="B28" s="85"/>
      <c r="C28" s="85"/>
      <c r="D28" s="86"/>
      <c r="E28" s="85"/>
      <c r="F28" s="87"/>
      <c r="G28" s="87"/>
      <c r="H28" s="88"/>
      <c r="I28" s="42"/>
    </row>
    <row r="29" spans="1:14" s="43" customFormat="1" ht="18" customHeight="1" x14ac:dyDescent="0.25">
      <c r="A29" s="89"/>
      <c r="B29" s="90"/>
      <c r="C29" s="91"/>
      <c r="D29" s="92" t="s">
        <v>36</v>
      </c>
      <c r="E29" s="93">
        <f>SUM(E26:E28)</f>
        <v>60000</v>
      </c>
      <c r="F29" s="1501"/>
      <c r="G29" s="1501"/>
      <c r="H29" s="1501"/>
      <c r="I29" s="42"/>
    </row>
    <row r="30" spans="1:14" s="43" customFormat="1" ht="6.9" customHeight="1" x14ac:dyDescent="0.25">
      <c r="A30" s="94"/>
      <c r="B30" s="95"/>
      <c r="C30" s="95"/>
      <c r="D30" s="96"/>
      <c r="E30" s="96"/>
      <c r="F30" s="96"/>
      <c r="G30" s="97"/>
      <c r="H30" s="98"/>
      <c r="I30" s="42"/>
    </row>
    <row r="31" spans="1:14" x14ac:dyDescent="0.25">
      <c r="A31" s="99"/>
      <c r="B31" s="100"/>
      <c r="C31" s="100"/>
      <c r="D31" s="100"/>
      <c r="E31" s="100"/>
      <c r="F31" s="100"/>
      <c r="G31" s="101"/>
      <c r="H31" s="102"/>
      <c r="I31" s="2"/>
      <c r="J31" s="11"/>
      <c r="K31" s="11"/>
    </row>
    <row r="32" spans="1:14" ht="18" customHeight="1" x14ac:dyDescent="0.25">
      <c r="A32" s="99"/>
      <c r="B32" s="103"/>
      <c r="C32" s="104"/>
      <c r="D32" s="105" t="s">
        <v>37</v>
      </c>
      <c r="E32" s="106">
        <f>ROUND(F15/1000,3)</f>
        <v>0</v>
      </c>
      <c r="F32" s="107" t="s">
        <v>38</v>
      </c>
      <c r="G32" s="101"/>
      <c r="H32" s="102"/>
      <c r="I32" s="2"/>
      <c r="J32" s="11"/>
      <c r="K32" s="11"/>
    </row>
    <row r="33" spans="1:11" ht="18" customHeight="1" x14ac:dyDescent="0.25">
      <c r="A33" s="99"/>
      <c r="B33" s="103"/>
      <c r="C33" s="108"/>
      <c r="D33" s="109" t="s">
        <v>39</v>
      </c>
      <c r="E33" s="110">
        <f>ROUND(F23/1000,3)</f>
        <v>13.1</v>
      </c>
      <c r="F33" s="111" t="s">
        <v>38</v>
      </c>
      <c r="G33" s="101"/>
      <c r="H33" s="102"/>
      <c r="I33" s="2"/>
      <c r="J33" s="11"/>
      <c r="K33" s="11"/>
    </row>
    <row r="34" spans="1:11" ht="18" customHeight="1" x14ac:dyDescent="0.25">
      <c r="A34" s="99"/>
      <c r="B34" s="103"/>
      <c r="C34" s="112"/>
      <c r="D34" s="113" t="s">
        <v>40</v>
      </c>
      <c r="E34" s="114">
        <f>SUM(E32:E33)</f>
        <v>13.1</v>
      </c>
      <c r="F34" s="115" t="s">
        <v>38</v>
      </c>
      <c r="G34" s="116"/>
      <c r="H34" s="116"/>
      <c r="I34" s="2"/>
      <c r="J34" s="11"/>
      <c r="K34" s="11"/>
    </row>
    <row r="35" spans="1:11" x14ac:dyDescent="0.25">
      <c r="A35" s="99"/>
      <c r="B35" s="117"/>
      <c r="C35" s="100"/>
      <c r="D35" s="100"/>
      <c r="E35" s="118"/>
      <c r="F35" s="100"/>
      <c r="G35" s="116"/>
      <c r="H35" s="116"/>
      <c r="I35" s="2"/>
      <c r="J35" s="11"/>
      <c r="K35" s="11"/>
    </row>
    <row r="36" spans="1:11" x14ac:dyDescent="0.25">
      <c r="A36" s="99"/>
      <c r="B36" s="117"/>
      <c r="C36" s="100"/>
      <c r="D36" s="100"/>
      <c r="E36" s="118"/>
      <c r="F36" s="100"/>
      <c r="G36" s="116"/>
      <c r="H36" s="116"/>
      <c r="I36" s="2"/>
      <c r="J36" s="11"/>
      <c r="K36" s="11"/>
    </row>
    <row r="37" spans="1:11" x14ac:dyDescent="0.25">
      <c r="A37" s="99"/>
      <c r="B37" s="117"/>
      <c r="C37" s="100"/>
      <c r="D37" s="100"/>
      <c r="E37" s="118"/>
      <c r="F37" s="100"/>
      <c r="G37" s="119"/>
      <c r="H37" s="116"/>
      <c r="I37" s="2"/>
      <c r="J37" s="11"/>
      <c r="K37" s="11"/>
    </row>
    <row r="38" spans="1:11" x14ac:dyDescent="0.25">
      <c r="A38" s="99"/>
      <c r="B38" s="117"/>
      <c r="C38" s="100"/>
      <c r="D38" s="100"/>
      <c r="E38" s="118"/>
      <c r="F38" s="100"/>
      <c r="G38" s="120"/>
      <c r="H38" s="116"/>
      <c r="I38" s="2"/>
      <c r="J38" s="11"/>
      <c r="K38" s="11"/>
    </row>
    <row r="39" spans="1:11" x14ac:dyDescent="0.25">
      <c r="A39" s="99"/>
      <c r="B39" s="116"/>
      <c r="C39" s="121"/>
      <c r="D39" s="122"/>
      <c r="E39" s="122"/>
      <c r="F39" s="122"/>
      <c r="G39" s="123"/>
      <c r="H39" s="116"/>
      <c r="I39" s="2"/>
      <c r="J39" s="11"/>
      <c r="K39" s="11"/>
    </row>
    <row r="40" spans="1:11" ht="15" customHeight="1" x14ac:dyDescent="0.25">
      <c r="A40" s="99"/>
      <c r="B40" s="116"/>
      <c r="C40" s="121"/>
      <c r="D40" s="124"/>
      <c r="E40" s="124"/>
      <c r="F40" s="125"/>
      <c r="G40" s="126"/>
      <c r="H40" s="116"/>
      <c r="I40" s="2"/>
      <c r="J40" s="11"/>
      <c r="K40" s="11"/>
    </row>
    <row r="41" spans="1:11" ht="15" customHeight="1" x14ac:dyDescent="0.25">
      <c r="A41" s="99"/>
      <c r="B41" s="116"/>
      <c r="C41" s="121"/>
      <c r="D41" s="127"/>
      <c r="E41" s="127"/>
      <c r="F41" s="128"/>
      <c r="G41" s="129"/>
      <c r="H41" s="116"/>
      <c r="I41" s="2"/>
      <c r="J41" s="11"/>
      <c r="K41" s="11"/>
    </row>
    <row r="42" spans="1:11" x14ac:dyDescent="0.25">
      <c r="A42" s="99"/>
      <c r="B42" s="116"/>
      <c r="C42" s="121"/>
      <c r="D42" s="121"/>
      <c r="E42" s="121"/>
      <c r="F42" s="100"/>
      <c r="G42" s="129"/>
      <c r="H42" s="116"/>
      <c r="J42" s="11"/>
      <c r="K42" s="11"/>
    </row>
    <row r="43" spans="1:11" x14ac:dyDescent="0.25">
      <c r="A43" s="99"/>
      <c r="B43" s="116"/>
      <c r="C43" s="121"/>
      <c r="D43" s="121"/>
      <c r="E43" s="121"/>
      <c r="F43" s="100"/>
      <c r="G43" s="129"/>
      <c r="H43" s="116"/>
      <c r="J43" s="11"/>
      <c r="K43" s="11"/>
    </row>
    <row r="44" spans="1:11" x14ac:dyDescent="0.25">
      <c r="A44" s="99"/>
      <c r="B44" s="116"/>
      <c r="C44" s="116"/>
      <c r="D44" s="116"/>
      <c r="E44" s="116"/>
      <c r="F44" s="100"/>
      <c r="H44" s="116"/>
      <c r="J44" s="11"/>
      <c r="K44" s="11"/>
    </row>
    <row r="45" spans="1:11" x14ac:dyDescent="0.25">
      <c r="A45" s="99"/>
      <c r="B45" s="100"/>
      <c r="C45" s="129"/>
      <c r="D45" s="100"/>
      <c r="E45" s="100"/>
      <c r="F45" s="100"/>
      <c r="H45" s="116"/>
      <c r="J45" s="11"/>
      <c r="K45" s="11"/>
    </row>
    <row r="46" spans="1:11" x14ac:dyDescent="0.25">
      <c r="A46" s="99"/>
      <c r="B46" s="100"/>
      <c r="C46" s="129"/>
      <c r="D46" s="100"/>
      <c r="E46" s="100"/>
      <c r="F46" s="100"/>
      <c r="H46" s="116"/>
      <c r="J46" s="11"/>
      <c r="K46" s="11"/>
    </row>
  </sheetData>
  <sheetProtection selectLockedCells="1" selectUnlockedCells="1"/>
  <mergeCells count="17">
    <mergeCell ref="D15:E15"/>
    <mergeCell ref="D23:E23"/>
    <mergeCell ref="F26:H26"/>
    <mergeCell ref="F29:H29"/>
    <mergeCell ref="H8:H9"/>
    <mergeCell ref="H11:H12"/>
    <mergeCell ref="A11:A12"/>
    <mergeCell ref="B11:C11"/>
    <mergeCell ref="E11:E12"/>
    <mergeCell ref="F11:F12"/>
    <mergeCell ref="G11:G12"/>
    <mergeCell ref="H6:H7"/>
    <mergeCell ref="A1:B1"/>
    <mergeCell ref="C1:H1"/>
    <mergeCell ref="A2:B2"/>
    <mergeCell ref="C2:H2"/>
    <mergeCell ref="A4:H4"/>
  </mergeCells>
  <printOptions horizontalCentered="1" verticalCentered="1"/>
  <pageMargins left="0.78749999999999998" right="0.78749999999999998" top="0.78749999999999998" bottom="0.78749999999999998" header="0.78749999999999998" footer="0.78749999999999998"/>
  <pageSetup paperSize="9" scale="9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7"/>
  <sheetViews>
    <sheetView view="pageBreakPreview" zoomScaleNormal="80" zoomScaleSheetLayoutView="100" workbookViewId="0">
      <selection activeCell="A19" sqref="A17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11" width="8.77734375" style="845" customWidth="1"/>
    <col min="12" max="12" width="10.6640625" style="845" customWidth="1"/>
    <col min="13" max="256" width="11.44140625" customWidth="1"/>
  </cols>
  <sheetData>
    <row r="1" spans="1:12" ht="15.6" x14ac:dyDescent="0.3">
      <c r="A1" s="1617" t="str">
        <f>'[1]Planilha orçamentária'!E4</f>
        <v>PROJETO BÁSICO DE ENGENHARIA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</row>
    <row r="2" spans="1:12" ht="8.25" customHeight="1" x14ac:dyDescent="0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</row>
    <row r="3" spans="1:12" ht="13.8" x14ac:dyDescent="0.25">
      <c r="A3" s="1826" t="str">
        <f>'1.2'!A5:K5</f>
        <v>J J BORGES DE OLIVEIRA EIRELI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846" t="s">
        <v>411</v>
      </c>
    </row>
    <row r="4" spans="1:12" x14ac:dyDescent="0.25">
      <c r="A4" s="1825" t="str">
        <f>'1.2'!A6</f>
        <v>20.129.307/0001-02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847"/>
    </row>
    <row r="5" spans="1:12" ht="6.75" customHeight="1" x14ac:dyDescent="0.25">
      <c r="A5" s="1619"/>
      <c r="B5" s="1619"/>
      <c r="C5" s="1619"/>
      <c r="D5" s="1619"/>
      <c r="E5" s="1619"/>
      <c r="F5" s="1619"/>
      <c r="G5" s="1619"/>
      <c r="H5" s="1619"/>
      <c r="I5" s="1619"/>
      <c r="J5" s="1619"/>
      <c r="K5" s="1619"/>
      <c r="L5" s="1642" t="s">
        <v>170</v>
      </c>
    </row>
    <row r="6" spans="1:12" ht="10.5" customHeight="1" x14ac:dyDescent="0.25">
      <c r="A6" s="848"/>
      <c r="B6" s="849"/>
      <c r="C6" s="850"/>
      <c r="D6" s="851"/>
      <c r="E6" s="852"/>
      <c r="F6" s="850"/>
      <c r="G6" s="850"/>
      <c r="H6" s="850"/>
      <c r="I6" s="850"/>
      <c r="J6" s="850"/>
      <c r="K6" s="853"/>
      <c r="L6" s="1642"/>
    </row>
    <row r="7" spans="1:12" ht="8.85" customHeight="1" x14ac:dyDescent="0.25">
      <c r="A7" s="855"/>
      <c r="B7" s="855"/>
      <c r="C7" s="856"/>
      <c r="D7" s="857"/>
      <c r="E7" s="857"/>
      <c r="F7" s="858"/>
      <c r="G7" s="858"/>
      <c r="H7" s="858"/>
      <c r="I7" s="858"/>
      <c r="J7" s="858"/>
      <c r="K7" s="858"/>
      <c r="L7" s="859"/>
    </row>
    <row r="8" spans="1:12" ht="8.85" customHeight="1" x14ac:dyDescent="0.25">
      <c r="A8" s="1620"/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</row>
    <row r="9" spans="1:12" ht="12.75" customHeight="1" x14ac:dyDescent="0.25">
      <c r="A9" s="1616" t="s">
        <v>413</v>
      </c>
      <c r="B9" s="1616"/>
      <c r="C9" s="1616"/>
      <c r="D9" s="1616"/>
      <c r="E9" s="860" t="str">
        <f>'[1]Planilha orçamentária'!E9</f>
        <v>Construção / Recuperação e complementação de estradas vicinais</v>
      </c>
      <c r="F9" s="861"/>
      <c r="G9" s="861"/>
      <c r="H9" s="861"/>
      <c r="I9" s="861"/>
      <c r="J9" s="861"/>
      <c r="K9" s="861"/>
      <c r="L9" s="862"/>
    </row>
    <row r="10" spans="1:12" ht="6" customHeight="1" x14ac:dyDescent="0.25">
      <c r="A10" s="863"/>
      <c r="B10" s="851"/>
      <c r="C10" s="864"/>
      <c r="D10" s="851"/>
      <c r="E10" s="851"/>
      <c r="F10" s="850"/>
      <c r="G10" s="850"/>
      <c r="H10" s="850"/>
      <c r="I10" s="850"/>
      <c r="J10" s="850"/>
      <c r="K10" s="850"/>
      <c r="L10" s="865"/>
    </row>
    <row r="11" spans="1:12" x14ac:dyDescent="0.25">
      <c r="A11" s="858"/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9"/>
    </row>
    <row r="12" spans="1:12" ht="8.25" customHeight="1" x14ac:dyDescent="0.25">
      <c r="A12" s="1621" t="s">
        <v>414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</row>
    <row r="13" spans="1:12" ht="8.25" customHeight="1" x14ac:dyDescent="0.25">
      <c r="A13" s="1621"/>
      <c r="B13" s="1621"/>
      <c r="C13" s="1621"/>
      <c r="D13" s="1621"/>
      <c r="E13" s="1621"/>
      <c r="F13" s="1621"/>
      <c r="G13" s="1621"/>
      <c r="H13" s="1621"/>
      <c r="I13" s="1621"/>
      <c r="J13" s="1621"/>
      <c r="K13" s="1621"/>
      <c r="L13" s="1621"/>
    </row>
    <row r="14" spans="1:12" ht="9.4499999999999993" customHeight="1" x14ac:dyDescent="0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</row>
    <row r="15" spans="1:12" x14ac:dyDescent="0.25">
      <c r="A15" s="867" t="s">
        <v>415</v>
      </c>
      <c r="B15" s="868"/>
      <c r="C15" s="868"/>
      <c r="D15" s="1016" t="s">
        <v>170</v>
      </c>
      <c r="E15" s="1622" t="s">
        <v>503</v>
      </c>
      <c r="F15" s="1622"/>
      <c r="G15" s="1622"/>
      <c r="H15" s="1622"/>
      <c r="I15" s="1622"/>
      <c r="J15" s="1622"/>
      <c r="K15" s="871" t="s">
        <v>417</v>
      </c>
      <c r="L15" s="872" t="s">
        <v>504</v>
      </c>
    </row>
    <row r="16" spans="1:12" ht="8.85" customHeight="1" x14ac:dyDescent="0.25">
      <c r="A16" s="855"/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</row>
    <row r="17" spans="1:15" x14ac:dyDescent="0.25">
      <c r="A17" s="1629" t="s">
        <v>426</v>
      </c>
      <c r="B17" s="1629"/>
      <c r="C17" s="1629"/>
      <c r="D17" s="1629"/>
      <c r="E17" s="1629"/>
      <c r="F17" s="1629"/>
      <c r="G17" s="1630" t="s">
        <v>164</v>
      </c>
      <c r="H17" s="1630" t="s">
        <v>284</v>
      </c>
      <c r="I17" s="1630"/>
      <c r="J17" s="1645" t="s">
        <v>471</v>
      </c>
      <c r="K17" s="1645"/>
      <c r="L17" s="886" t="s">
        <v>472</v>
      </c>
      <c r="N17">
        <v>0.4</v>
      </c>
    </row>
    <row r="18" spans="1:15" x14ac:dyDescent="0.25">
      <c r="A18" s="1629"/>
      <c r="B18" s="1629"/>
      <c r="C18" s="1629"/>
      <c r="D18" s="1629"/>
      <c r="E18" s="1629"/>
      <c r="F18" s="1629"/>
      <c r="G18" s="1630"/>
      <c r="H18" s="886" t="s">
        <v>473</v>
      </c>
      <c r="I18" s="1017" t="s">
        <v>474</v>
      </c>
      <c r="J18" s="886" t="s">
        <v>473</v>
      </c>
      <c r="K18" s="1017" t="s">
        <v>474</v>
      </c>
      <c r="L18" s="886" t="s">
        <v>475</v>
      </c>
    </row>
    <row r="19" spans="1:15" ht="15.75" customHeight="1" x14ac:dyDescent="0.25">
      <c r="A19" s="1074"/>
      <c r="B19" s="1019"/>
      <c r="C19" s="1019"/>
      <c r="D19" s="1029"/>
      <c r="E19" s="1029"/>
      <c r="F19" s="1030"/>
      <c r="G19" s="1031"/>
      <c r="H19" s="1024"/>
      <c r="I19" s="904"/>
      <c r="J19" s="1075"/>
      <c r="K19" s="906"/>
      <c r="L19" s="929"/>
    </row>
    <row r="20" spans="1:15" x14ac:dyDescent="0.25">
      <c r="A20" s="1646" t="s">
        <v>476</v>
      </c>
      <c r="B20" s="1646"/>
      <c r="C20" s="1646"/>
      <c r="D20" s="1646"/>
      <c r="E20" s="1646"/>
      <c r="F20" s="1646"/>
      <c r="G20" s="1646"/>
      <c r="H20" s="1646"/>
      <c r="I20" s="1646"/>
      <c r="J20" s="1646"/>
      <c r="K20" s="1646"/>
      <c r="L20" s="976">
        <f>ROUND(SUM(L19:L19),4)</f>
        <v>0</v>
      </c>
    </row>
    <row r="21" spans="1:15" ht="8.85" customHeight="1" x14ac:dyDescent="0.25">
      <c r="A21" s="873"/>
      <c r="B21" s="873"/>
      <c r="C21" s="873"/>
      <c r="D21" s="873"/>
      <c r="E21" s="873"/>
      <c r="F21" s="873"/>
      <c r="G21" s="873"/>
      <c r="H21" s="966"/>
      <c r="I21" s="966"/>
      <c r="J21" s="966"/>
      <c r="K21" s="966"/>
      <c r="L21" s="966"/>
    </row>
    <row r="22" spans="1:15" ht="14.7" customHeight="1" x14ac:dyDescent="0.25">
      <c r="A22" s="1629" t="s">
        <v>439</v>
      </c>
      <c r="B22" s="1629"/>
      <c r="C22" s="1629"/>
      <c r="D22" s="1629"/>
      <c r="E22" s="1629"/>
      <c r="F22" s="1629"/>
      <c r="G22" s="1629"/>
      <c r="H22" s="1629"/>
      <c r="I22" s="1629"/>
      <c r="J22" s="1630" t="s">
        <v>164</v>
      </c>
      <c r="K22" s="1631" t="s">
        <v>477</v>
      </c>
      <c r="L22" s="1018" t="s">
        <v>441</v>
      </c>
    </row>
    <row r="23" spans="1:15" x14ac:dyDescent="0.25">
      <c r="A23" s="1629"/>
      <c r="B23" s="1629"/>
      <c r="C23" s="1629"/>
      <c r="D23" s="1629"/>
      <c r="E23" s="1629"/>
      <c r="F23" s="1629"/>
      <c r="G23" s="1629"/>
      <c r="H23" s="1629"/>
      <c r="I23" s="1629"/>
      <c r="J23" s="1630"/>
      <c r="K23" s="1631"/>
      <c r="L23" s="1020" t="s">
        <v>475</v>
      </c>
    </row>
    <row r="24" spans="1:15" x14ac:dyDescent="0.25">
      <c r="A24" s="984" t="str">
        <f>'[1]Atualização de custos unitarios'!A79</f>
        <v>DNIT –</v>
      </c>
      <c r="B24" s="1034" t="str">
        <f>'[1]Atualização de custos unitarios'!B79</f>
        <v>P9808</v>
      </c>
      <c r="C24" s="922" t="s">
        <v>434</v>
      </c>
      <c r="D24" s="1076" t="str">
        <f>'[1]Atualização de custos unitarios'!C79</f>
        <v>Carpinteiro</v>
      </c>
      <c r="E24" s="885"/>
      <c r="F24" s="885"/>
      <c r="G24" s="855"/>
      <c r="H24" s="922"/>
      <c r="I24" s="1035"/>
      <c r="J24" s="1023">
        <v>1</v>
      </c>
      <c r="K24" s="1077">
        <f>'1.1'!G96</f>
        <v>19.7652</v>
      </c>
      <c r="L24" s="907">
        <f>J24*K24</f>
        <v>19.7652</v>
      </c>
      <c r="N24" s="1077">
        <v>20.165199999999999</v>
      </c>
      <c r="O24" s="1782">
        <f>N24-$N$17</f>
        <v>19.7652</v>
      </c>
    </row>
    <row r="25" spans="1:15" x14ac:dyDescent="0.25">
      <c r="A25" s="984" t="str">
        <f>'[1]Atualização de custos unitarios'!A84</f>
        <v>DNIT –</v>
      </c>
      <c r="B25" s="1034" t="str">
        <f>'[1]Atualização de custos unitarios'!B84</f>
        <v>P9824</v>
      </c>
      <c r="C25" s="922" t="s">
        <v>434</v>
      </c>
      <c r="D25" s="1076" t="str">
        <f>'[1]Atualização de custos unitarios'!C84</f>
        <v>Servente</v>
      </c>
      <c r="E25" s="885"/>
      <c r="F25" s="885"/>
      <c r="G25" s="855"/>
      <c r="H25" s="922"/>
      <c r="I25" s="1035"/>
      <c r="J25" s="1023">
        <v>2</v>
      </c>
      <c r="K25" s="985">
        <f>'1.1'!G100</f>
        <v>14.981199999999999</v>
      </c>
      <c r="L25" s="907">
        <f t="shared" ref="L24:L25" si="0">J25*K25</f>
        <v>29.962399999999999</v>
      </c>
      <c r="N25" s="985">
        <v>15.3812</v>
      </c>
      <c r="O25" s="1782">
        <f>N25-$N$17</f>
        <v>14.981199999999999</v>
      </c>
    </row>
    <row r="26" spans="1:15" ht="6" customHeight="1" x14ac:dyDescent="0.25">
      <c r="A26" s="1078"/>
      <c r="B26" s="1079"/>
      <c r="C26" s="1029"/>
      <c r="D26" s="1029"/>
      <c r="E26" s="1029"/>
      <c r="F26" s="1029"/>
      <c r="G26" s="849"/>
      <c r="H26" s="1019"/>
      <c r="I26" s="1039"/>
      <c r="J26" s="1031"/>
      <c r="K26" s="985"/>
      <c r="L26" s="907"/>
    </row>
    <row r="27" spans="1:15" x14ac:dyDescent="0.25">
      <c r="A27" s="1646" t="s">
        <v>478</v>
      </c>
      <c r="B27" s="1646"/>
      <c r="C27" s="1646"/>
      <c r="D27" s="1646"/>
      <c r="E27" s="1646"/>
      <c r="F27" s="1646"/>
      <c r="G27" s="1646"/>
      <c r="H27" s="1646"/>
      <c r="I27" s="1646"/>
      <c r="J27" s="1646"/>
      <c r="K27" s="1646"/>
      <c r="L27" s="976">
        <f>ROUND(SUM(L24:L26),4)</f>
        <v>49.727600000000002</v>
      </c>
    </row>
    <row r="28" spans="1:15" ht="9.4499999999999993" customHeight="1" x14ac:dyDescent="0.25">
      <c r="A28" s="873"/>
      <c r="B28" s="873"/>
      <c r="C28" s="873"/>
      <c r="D28" s="873"/>
      <c r="E28" s="873"/>
      <c r="F28" s="873"/>
      <c r="G28" s="873"/>
      <c r="H28" s="873"/>
      <c r="I28" s="873"/>
      <c r="J28" s="966"/>
      <c r="K28" s="966"/>
      <c r="L28" s="1040"/>
    </row>
    <row r="29" spans="1:15" x14ac:dyDescent="0.25">
      <c r="A29" s="873"/>
      <c r="B29" s="873"/>
      <c r="C29" s="873"/>
      <c r="D29" s="873"/>
      <c r="E29" s="873"/>
      <c r="F29" s="873"/>
      <c r="G29" s="873"/>
      <c r="H29" s="873"/>
      <c r="I29" s="873"/>
      <c r="J29" s="966"/>
      <c r="K29" s="1041" t="s">
        <v>479</v>
      </c>
      <c r="L29" s="1042">
        <f>L20+L27</f>
        <v>49.727600000000002</v>
      </c>
    </row>
    <row r="30" spans="1:15" x14ac:dyDescent="0.25">
      <c r="A30" s="1043" t="s">
        <v>480</v>
      </c>
      <c r="B30" s="873"/>
      <c r="C30" s="873"/>
      <c r="D30" s="873"/>
      <c r="E30" s="873"/>
      <c r="F30" s="1044">
        <v>1</v>
      </c>
      <c r="G30" s="1045" t="str">
        <f>L15</f>
        <v>m²</v>
      </c>
      <c r="H30" s="1043"/>
      <c r="I30" s="873"/>
      <c r="J30" s="1046"/>
      <c r="K30" s="1047" t="s">
        <v>481</v>
      </c>
      <c r="L30" s="976">
        <f>L29/F30</f>
        <v>49.727600000000002</v>
      </c>
    </row>
    <row r="31" spans="1:15" x14ac:dyDescent="0.25">
      <c r="A31" s="1043"/>
      <c r="B31" s="873" t="s">
        <v>482</v>
      </c>
      <c r="C31" s="873"/>
      <c r="D31" s="873"/>
      <c r="E31" s="873"/>
      <c r="F31" s="1044"/>
      <c r="G31" s="1045"/>
      <c r="H31" s="1043"/>
      <c r="I31" s="873"/>
      <c r="J31" s="1046"/>
      <c r="K31" s="1041" t="s">
        <v>483</v>
      </c>
      <c r="L31" s="976">
        <f>L30*F31</f>
        <v>0</v>
      </c>
    </row>
    <row r="32" spans="1:15" x14ac:dyDescent="0.25">
      <c r="A32" s="1043"/>
      <c r="B32" s="873" t="s">
        <v>484</v>
      </c>
      <c r="C32" s="873"/>
      <c r="D32" s="873"/>
      <c r="E32" s="873"/>
      <c r="F32" s="1044"/>
      <c r="G32" s="1045"/>
      <c r="H32" s="1046"/>
      <c r="I32" s="1048"/>
      <c r="J32" s="966"/>
      <c r="K32" s="1041" t="s">
        <v>485</v>
      </c>
      <c r="L32" s="976">
        <f>L30*F32</f>
        <v>0</v>
      </c>
    </row>
    <row r="33" spans="1:15" ht="8.85" customHeight="1" x14ac:dyDescent="0.25">
      <c r="A33" s="873"/>
      <c r="B33" s="873"/>
      <c r="C33" s="873"/>
      <c r="D33" s="873"/>
      <c r="E33" s="873"/>
      <c r="F33" s="873"/>
      <c r="G33" s="873"/>
      <c r="H33" s="873"/>
      <c r="I33" s="873"/>
      <c r="J33" s="966"/>
      <c r="K33" s="966"/>
      <c r="L33" s="1040"/>
    </row>
    <row r="34" spans="1:15" x14ac:dyDescent="0.25">
      <c r="A34" s="1629" t="s">
        <v>486</v>
      </c>
      <c r="B34" s="1629"/>
      <c r="C34" s="1629"/>
      <c r="D34" s="1629"/>
      <c r="E34" s="1629"/>
      <c r="F34" s="1629"/>
      <c r="G34" s="1629"/>
      <c r="H34" s="1629"/>
      <c r="I34" s="1639" t="s">
        <v>487</v>
      </c>
      <c r="J34" s="1639"/>
      <c r="K34" s="1639"/>
      <c r="L34" s="1049">
        <f>ROUND(SUM(L30:L33),4)</f>
        <v>49.727600000000002</v>
      </c>
    </row>
    <row r="35" spans="1:15" ht="8.85" customHeight="1" x14ac:dyDescent="0.25">
      <c r="A35" s="855"/>
      <c r="B35" s="855"/>
      <c r="C35" s="855"/>
      <c r="D35" s="855"/>
      <c r="E35" s="855"/>
      <c r="F35" s="855"/>
      <c r="G35" s="1050"/>
      <c r="H35" s="1050"/>
      <c r="I35" s="876"/>
      <c r="J35" s="876"/>
      <c r="K35" s="876"/>
      <c r="L35" s="855"/>
    </row>
    <row r="36" spans="1:15" x14ac:dyDescent="0.25">
      <c r="A36" s="1629" t="s">
        <v>488</v>
      </c>
      <c r="B36" s="1629"/>
      <c r="C36" s="1629"/>
      <c r="D36" s="1629"/>
      <c r="E36" s="1629"/>
      <c r="F36" s="1629"/>
      <c r="G36" s="1629"/>
      <c r="H36" s="1630" t="s">
        <v>164</v>
      </c>
      <c r="I36" s="1630"/>
      <c r="J36" s="1630" t="s">
        <v>163</v>
      </c>
      <c r="K36" s="1018" t="s">
        <v>489</v>
      </c>
      <c r="L36" s="1018" t="s">
        <v>472</v>
      </c>
    </row>
    <row r="37" spans="1:15" x14ac:dyDescent="0.25">
      <c r="A37" s="1629"/>
      <c r="B37" s="1629"/>
      <c r="C37" s="1629"/>
      <c r="D37" s="1629"/>
      <c r="E37" s="1629"/>
      <c r="F37" s="1629"/>
      <c r="G37" s="1629"/>
      <c r="H37" s="1630"/>
      <c r="I37" s="1630"/>
      <c r="J37" s="1630"/>
      <c r="K37" s="1051" t="s">
        <v>490</v>
      </c>
      <c r="L37" s="1020" t="s">
        <v>490</v>
      </c>
    </row>
    <row r="38" spans="1:15" ht="32.25" customHeight="1" x14ac:dyDescent="0.25">
      <c r="A38" s="984" t="str">
        <f>'[1]Atualização de custos unitarios'!A184</f>
        <v>SINAPI –</v>
      </c>
      <c r="B38" s="901" t="str">
        <f>'[1]Atualização de custos unitarios'!B184</f>
        <v>00004417</v>
      </c>
      <c r="C38" s="922" t="s">
        <v>434</v>
      </c>
      <c r="D38" s="1658" t="str">
        <f>'[1]Atualização de custos unitarios'!C184</f>
        <v>Sarrafo de madeira não aparelhada *2,5 x 7* cm, maçaranduba, angelin ou equivalente da região</v>
      </c>
      <c r="E38" s="1658"/>
      <c r="F38" s="1658"/>
      <c r="G38" s="1658"/>
      <c r="H38" s="1649">
        <v>1</v>
      </c>
      <c r="I38" s="1649"/>
      <c r="J38" s="1053" t="str">
        <f>'[1]Atualização de custos unitarios'!D184</f>
        <v>m</v>
      </c>
      <c r="K38" s="985">
        <v>5.42</v>
      </c>
      <c r="L38" s="929">
        <f t="shared" ref="L38:L42" si="1">K38*H38</f>
        <v>5.42</v>
      </c>
      <c r="N38">
        <v>5.82</v>
      </c>
      <c r="O38" s="1782">
        <f>N38-$N$17</f>
        <v>5.42</v>
      </c>
    </row>
    <row r="39" spans="1:15" ht="31.5" customHeight="1" x14ac:dyDescent="0.25">
      <c r="A39" s="984" t="str">
        <f>'[1]Atualização de custos unitarios'!A186</f>
        <v>SINAPI –</v>
      </c>
      <c r="B39" s="901" t="str">
        <f>'[1]Atualização de custos unitarios'!B186</f>
        <v>00004491</v>
      </c>
      <c r="C39" s="922" t="s">
        <v>434</v>
      </c>
      <c r="D39" s="1658" t="str">
        <f>'[1]Atualização de custos unitarios'!C186</f>
        <v>Peça de madeira nativa / regional *7,5 x 7,5* cm (3x3") não aparelhada (p/ forma)</v>
      </c>
      <c r="E39" s="1658"/>
      <c r="F39" s="1658"/>
      <c r="G39" s="1658"/>
      <c r="H39" s="1649">
        <v>4</v>
      </c>
      <c r="I39" s="1649"/>
      <c r="J39" s="1053" t="str">
        <f>'[1]Atualização de custos unitarios'!D186</f>
        <v>m</v>
      </c>
      <c r="K39" s="985">
        <v>7.67</v>
      </c>
      <c r="L39" s="929">
        <f t="shared" si="1"/>
        <v>30.68</v>
      </c>
      <c r="N39">
        <v>8.07</v>
      </c>
      <c r="O39" s="1782">
        <f t="shared" ref="O39:O42" si="2">N39-$N$17</f>
        <v>7.67</v>
      </c>
    </row>
    <row r="40" spans="1:15" ht="26.25" customHeight="1" x14ac:dyDescent="0.25">
      <c r="A40" s="984" t="str">
        <f>'[1]Atualização de custos unitarios'!A187</f>
        <v>SINAPI –</v>
      </c>
      <c r="B40" s="901" t="str">
        <f>'[1]Atualização de custos unitarios'!B187</f>
        <v>00004813</v>
      </c>
      <c r="C40" s="922" t="s">
        <v>434</v>
      </c>
      <c r="D40" s="1658" t="str">
        <f>'[1]Atualização de custos unitarios'!C187</f>
        <v>Placa de obra (para construção civil) em chapa galvanizada *nº 22*, de *2,0 x 1,125* m</v>
      </c>
      <c r="E40" s="1658"/>
      <c r="F40" s="1658"/>
      <c r="G40" s="1658"/>
      <c r="H40" s="1649">
        <v>1</v>
      </c>
      <c r="I40" s="1649"/>
      <c r="J40" s="1053" t="str">
        <f>'[1]Atualização de custos unitarios'!D187</f>
        <v>m²</v>
      </c>
      <c r="K40" s="985">
        <v>224.6</v>
      </c>
      <c r="L40" s="929">
        <f t="shared" si="1"/>
        <v>224.6</v>
      </c>
      <c r="N40">
        <v>225</v>
      </c>
      <c r="O40" s="1782">
        <f t="shared" si="2"/>
        <v>224.6</v>
      </c>
    </row>
    <row r="41" spans="1:15" ht="24" customHeight="1" x14ac:dyDescent="0.25">
      <c r="A41" s="984" t="str">
        <f>'[1]Atualização de custos unitarios'!A189</f>
        <v>SINAPI –</v>
      </c>
      <c r="B41" s="901" t="str">
        <f>'[1]Atualização de custos unitarios'!B189</f>
        <v>00005075</v>
      </c>
      <c r="C41" s="922" t="s">
        <v>434</v>
      </c>
      <c r="D41" s="1658" t="str">
        <f>'[1]Atualização de custos unitarios'!C189</f>
        <v>Prego de aço polido com cabeça 18 x 30 (2.3/4" x 10")</v>
      </c>
      <c r="E41" s="1658"/>
      <c r="F41" s="1658"/>
      <c r="G41" s="1658"/>
      <c r="H41" s="1649">
        <v>0.11</v>
      </c>
      <c r="I41" s="1649"/>
      <c r="J41" s="1053" t="str">
        <f>'[1]Atualização de custos unitarios'!D189</f>
        <v>kg</v>
      </c>
      <c r="K41" s="985">
        <v>15.87</v>
      </c>
      <c r="L41" s="929">
        <f t="shared" si="1"/>
        <v>1.7457</v>
      </c>
      <c r="N41">
        <v>16.27</v>
      </c>
      <c r="O41" s="1782">
        <f t="shared" si="2"/>
        <v>15.87</v>
      </c>
    </row>
    <row r="42" spans="1:15" ht="26.25" customHeight="1" x14ac:dyDescent="0.25">
      <c r="A42" s="1659" t="str">
        <f>CONCATENATE('[1]A010-Conc.Cicl.20MPa'!L6," ",'[1]A010-Conc.Cicl.20MPa'!L7)</f>
        <v>INCRA A 010</v>
      </c>
      <c r="B42" s="1659"/>
      <c r="C42" s="922" t="s">
        <v>434</v>
      </c>
      <c r="D42" s="1658" t="str">
        <f>'[1]A009-Conc.20MPa'!E18</f>
        <v>Concreto fck = 20 MPa - confecção em betoneira e lançamento manual - areia e brita comerciais</v>
      </c>
      <c r="E42" s="1658"/>
      <c r="F42" s="1658"/>
      <c r="G42" s="1658"/>
      <c r="H42" s="1649">
        <v>0.01</v>
      </c>
      <c r="I42" s="1649"/>
      <c r="J42" s="1053" t="str">
        <f>'[1]A009-Conc.20MPa'!L18</f>
        <v>m³</v>
      </c>
      <c r="K42" s="985">
        <v>374.36</v>
      </c>
      <c r="L42" s="929">
        <f t="shared" si="1"/>
        <v>3.7436000000000003</v>
      </c>
      <c r="N42">
        <v>374.76</v>
      </c>
      <c r="O42" s="1782">
        <f t="shared" si="2"/>
        <v>374.36</v>
      </c>
    </row>
    <row r="43" spans="1:15" x14ac:dyDescent="0.25">
      <c r="A43" s="1080"/>
      <c r="B43" s="904"/>
      <c r="C43" s="922"/>
      <c r="D43" s="1029"/>
      <c r="E43" s="1029"/>
      <c r="F43" s="1029"/>
      <c r="G43" s="1056"/>
      <c r="H43" s="1660"/>
      <c r="I43" s="1660"/>
      <c r="J43" s="1053"/>
      <c r="K43" s="985"/>
      <c r="L43" s="1075"/>
    </row>
    <row r="44" spans="1:15" x14ac:dyDescent="0.25">
      <c r="A44" s="1637" t="s">
        <v>491</v>
      </c>
      <c r="B44" s="1637"/>
      <c r="C44" s="1637"/>
      <c r="D44" s="1637"/>
      <c r="E44" s="1637"/>
      <c r="F44" s="1637"/>
      <c r="G44" s="1637"/>
      <c r="H44" s="1637"/>
      <c r="I44" s="1637"/>
      <c r="J44" s="1637"/>
      <c r="K44" s="1637"/>
      <c r="L44" s="1049">
        <f>ROUND(SUM(L38:L43),4)</f>
        <v>266.1893</v>
      </c>
    </row>
    <row r="45" spans="1:15" ht="9.4499999999999993" customHeight="1" x14ac:dyDescent="0.25">
      <c r="A45" s="875"/>
      <c r="B45" s="875"/>
      <c r="C45" s="875"/>
      <c r="D45" s="875"/>
      <c r="E45" s="875"/>
      <c r="F45" s="875"/>
      <c r="G45" s="875"/>
      <c r="H45" s="875"/>
      <c r="I45" s="875"/>
      <c r="J45" s="855"/>
      <c r="K45" s="1057"/>
      <c r="L45" s="1058"/>
    </row>
    <row r="46" spans="1:15" ht="14.7" customHeight="1" x14ac:dyDescent="0.25">
      <c r="A46" s="1629" t="s">
        <v>492</v>
      </c>
      <c r="B46" s="1629"/>
      <c r="C46" s="1629"/>
      <c r="D46" s="1629"/>
      <c r="E46" s="1629"/>
      <c r="F46" s="1629"/>
      <c r="G46" s="1631" t="s">
        <v>493</v>
      </c>
      <c r="H46" s="1630" t="s">
        <v>494</v>
      </c>
      <c r="I46" s="1630"/>
      <c r="J46" s="1630"/>
      <c r="K46" s="1630"/>
      <c r="L46" s="1630" t="s">
        <v>495</v>
      </c>
    </row>
    <row r="47" spans="1:15" x14ac:dyDescent="0.25">
      <c r="A47" s="1629"/>
      <c r="B47" s="1629"/>
      <c r="C47" s="1629"/>
      <c r="D47" s="1629"/>
      <c r="E47" s="1629"/>
      <c r="F47" s="1629"/>
      <c r="G47" s="1631"/>
      <c r="H47" s="887" t="s">
        <v>110</v>
      </c>
      <c r="I47" s="1039" t="s">
        <v>302</v>
      </c>
      <c r="J47" s="1020" t="s">
        <v>305</v>
      </c>
      <c r="K47" s="1051" t="s">
        <v>307</v>
      </c>
      <c r="L47" s="1630"/>
    </row>
    <row r="48" spans="1:15" x14ac:dyDescent="0.25">
      <c r="A48" s="1629"/>
      <c r="B48" s="1629"/>
      <c r="C48" s="1629"/>
      <c r="D48" s="1629"/>
      <c r="E48" s="1629"/>
      <c r="F48" s="1629"/>
      <c r="G48" s="1631"/>
      <c r="H48" s="886" t="s">
        <v>496</v>
      </c>
      <c r="I48" s="1059"/>
      <c r="J48" s="1059"/>
      <c r="K48" s="1059"/>
      <c r="L48" s="1630"/>
    </row>
    <row r="49" spans="1:12" ht="14.7" customHeight="1" x14ac:dyDescent="0.25">
      <c r="A49" s="1652" t="str">
        <f>A38</f>
        <v>SINAPI –</v>
      </c>
      <c r="B49" s="1653" t="str">
        <f>B38</f>
        <v>00004417</v>
      </c>
      <c r="C49" s="1654" t="s">
        <v>434</v>
      </c>
      <c r="D49" s="1655" t="str">
        <f>D38</f>
        <v>Sarrafo de madeira não aparelhada *2,5 x 7* cm, maçaranduba, angelin ou equivalente da região</v>
      </c>
      <c r="E49" s="1655"/>
      <c r="F49" s="1656" t="s">
        <v>505</v>
      </c>
      <c r="G49" s="1666">
        <f>ROUND((H38*0.025*0.07)*700/1000,5)</f>
        <v>1.23E-3</v>
      </c>
      <c r="H49" s="1060" t="s">
        <v>497</v>
      </c>
      <c r="I49" s="1061">
        <f>'[1]Composições - Transportes'!B32</f>
        <v>5914449</v>
      </c>
      <c r="J49" s="1061">
        <f>'[1]Composições - Transportes'!B33</f>
        <v>5914464</v>
      </c>
      <c r="K49" s="1061">
        <f>'[1]Composições - Transportes'!B34</f>
        <v>5914479</v>
      </c>
      <c r="L49" s="1651">
        <f>G49*($I$48*I50+$J$48*J50+$K$48*K50)</f>
        <v>0</v>
      </c>
    </row>
    <row r="50" spans="1:12" ht="33" customHeight="1" x14ac:dyDescent="0.25">
      <c r="A50" s="1652"/>
      <c r="B50" s="1653"/>
      <c r="C50" s="1654"/>
      <c r="D50" s="1655"/>
      <c r="E50" s="1655"/>
      <c r="F50" s="1656"/>
      <c r="G50" s="1666"/>
      <c r="H50" s="1062" t="s">
        <v>498</v>
      </c>
      <c r="I50" s="1063">
        <f>'[1]Composições - Transportes'!S32</f>
        <v>0.82</v>
      </c>
      <c r="J50" s="1063">
        <f>'[1]Composições - Transportes'!S33</f>
        <v>0.66</v>
      </c>
      <c r="K50" s="1063">
        <f>'[1]Composições - Transportes'!S34</f>
        <v>0.52</v>
      </c>
      <c r="L50" s="1651"/>
    </row>
    <row r="51" spans="1:12" ht="14.7" customHeight="1" x14ac:dyDescent="0.25">
      <c r="A51" s="1661" t="str">
        <f>A39</f>
        <v>SINAPI –</v>
      </c>
      <c r="B51" s="1662" t="str">
        <f>B39</f>
        <v>00004491</v>
      </c>
      <c r="C51" s="1663" t="s">
        <v>434</v>
      </c>
      <c r="D51" s="1664" t="str">
        <f>D39</f>
        <v>Peça de madeira nativa / regional *7,5 x 7,5* cm (3x3") não aparelhada (p/ forma)</v>
      </c>
      <c r="E51" s="1664"/>
      <c r="F51" s="1665" t="s">
        <v>505</v>
      </c>
      <c r="G51" s="1666">
        <f>ROUND((H39*0.075*0.075)*700/1000,5)</f>
        <v>1.575E-2</v>
      </c>
      <c r="H51" s="1062" t="s">
        <v>497</v>
      </c>
      <c r="I51" s="1082">
        <f>'[1]Composições - Transportes'!B32</f>
        <v>5914449</v>
      </c>
      <c r="J51" s="1082">
        <f>'[1]Composições - Transportes'!B33</f>
        <v>5914464</v>
      </c>
      <c r="K51" s="1082">
        <f>'[1]Composições - Transportes'!B34</f>
        <v>5914479</v>
      </c>
      <c r="L51" s="1667">
        <f>G51*($I$48*I52+$J$48*J52+$K$48*K52)</f>
        <v>0</v>
      </c>
    </row>
    <row r="52" spans="1:12" ht="24" customHeight="1" x14ac:dyDescent="0.25">
      <c r="A52" s="1661"/>
      <c r="B52" s="1662"/>
      <c r="C52" s="1663"/>
      <c r="D52" s="1664"/>
      <c r="E52" s="1664"/>
      <c r="F52" s="1665"/>
      <c r="G52" s="1666"/>
      <c r="H52" s="1062" t="s">
        <v>498</v>
      </c>
      <c r="I52" s="1063">
        <f>'[1]Composições - Transportes'!S32</f>
        <v>0.82</v>
      </c>
      <c r="J52" s="1063">
        <f>'[1]Composições - Transportes'!S33</f>
        <v>0.66</v>
      </c>
      <c r="K52" s="1063">
        <f>'[1]Composições - Transportes'!S34</f>
        <v>0.52</v>
      </c>
      <c r="L52" s="1667"/>
    </row>
    <row r="53" spans="1:12" ht="14.7" customHeight="1" x14ac:dyDescent="0.25">
      <c r="A53" s="1661" t="str">
        <f>A40</f>
        <v>SINAPI –</v>
      </c>
      <c r="B53" s="1662" t="str">
        <f>B40</f>
        <v>00004813</v>
      </c>
      <c r="C53" s="1663" t="s">
        <v>434</v>
      </c>
      <c r="D53" s="1664" t="str">
        <f>D40</f>
        <v>Placa de obra (para construção civil) em chapa galvanizada *nº 22*, de *2,0 x 1,125* m</v>
      </c>
      <c r="E53" s="1664"/>
      <c r="F53" s="1665" t="s">
        <v>505</v>
      </c>
      <c r="G53" s="1666">
        <f>ROUND((H40*6.4)/1000,5)</f>
        <v>6.4000000000000003E-3</v>
      </c>
      <c r="H53" s="1062" t="s">
        <v>497</v>
      </c>
      <c r="I53" s="1082">
        <f>'[1]Composições - Transportes'!B32</f>
        <v>5914449</v>
      </c>
      <c r="J53" s="1082">
        <f>'[1]Composições - Transportes'!B33</f>
        <v>5914464</v>
      </c>
      <c r="K53" s="1082">
        <f>'[1]Composições - Transportes'!B34</f>
        <v>5914479</v>
      </c>
      <c r="L53" s="1667">
        <f>G53*($I$48*I54+$J$48*J54+$K$48*K54)</f>
        <v>0</v>
      </c>
    </row>
    <row r="54" spans="1:12" ht="26.25" customHeight="1" x14ac:dyDescent="0.25">
      <c r="A54" s="1661"/>
      <c r="B54" s="1662"/>
      <c r="C54" s="1663"/>
      <c r="D54" s="1664"/>
      <c r="E54" s="1664"/>
      <c r="F54" s="1665"/>
      <c r="G54" s="1666"/>
      <c r="H54" s="1062" t="s">
        <v>498</v>
      </c>
      <c r="I54" s="1063">
        <f>'[1]Composições - Transportes'!S32</f>
        <v>0.82</v>
      </c>
      <c r="J54" s="1063">
        <f>'[1]Composições - Transportes'!S33</f>
        <v>0.66</v>
      </c>
      <c r="K54" s="1063">
        <f>'[1]Composições - Transportes'!S34</f>
        <v>0.52</v>
      </c>
      <c r="L54" s="1667"/>
    </row>
    <row r="55" spans="1:12" ht="14.7" customHeight="1" x14ac:dyDescent="0.25">
      <c r="A55" s="1661" t="str">
        <f>A41</f>
        <v>SINAPI –</v>
      </c>
      <c r="B55" s="1662" t="str">
        <f>B41</f>
        <v>00005075</v>
      </c>
      <c r="C55" s="1663" t="s">
        <v>434</v>
      </c>
      <c r="D55" s="1664" t="str">
        <f>D41</f>
        <v>Prego de aço polido com cabeça 18 x 30 (2.3/4" x 10")</v>
      </c>
      <c r="E55" s="1664"/>
      <c r="F55" s="1665" t="s">
        <v>505</v>
      </c>
      <c r="G55" s="1666">
        <f>ROUND(H41/1000,5)</f>
        <v>1.1E-4</v>
      </c>
      <c r="H55" s="1062" t="s">
        <v>497</v>
      </c>
      <c r="I55" s="1082">
        <f>'[1]Composições - Transportes'!B32</f>
        <v>5914449</v>
      </c>
      <c r="J55" s="1082">
        <f>'[1]Composições - Transportes'!B33</f>
        <v>5914464</v>
      </c>
      <c r="K55" s="1082">
        <f>'[1]Composições - Transportes'!B34</f>
        <v>5914479</v>
      </c>
      <c r="L55" s="1667">
        <f>G55*($I$48*I56+$J$48*J56+$K$48*K56)</f>
        <v>0</v>
      </c>
    </row>
    <row r="56" spans="1:12" x14ac:dyDescent="0.25">
      <c r="A56" s="1661"/>
      <c r="B56" s="1662"/>
      <c r="C56" s="1663"/>
      <c r="D56" s="1664"/>
      <c r="E56" s="1664"/>
      <c r="F56" s="1665"/>
      <c r="G56" s="1666"/>
      <c r="H56" s="1062" t="s">
        <v>498</v>
      </c>
      <c r="I56" s="1063">
        <f>'[1]Composições - Transportes'!S32</f>
        <v>0.82</v>
      </c>
      <c r="J56" s="1063">
        <f>'[1]Composições - Transportes'!S33</f>
        <v>0.66</v>
      </c>
      <c r="K56" s="1063">
        <f>'[1]Composições - Transportes'!S34</f>
        <v>0.52</v>
      </c>
      <c r="L56" s="1667"/>
    </row>
    <row r="57" spans="1:12" x14ac:dyDescent="0.25">
      <c r="A57" s="1055"/>
      <c r="B57" s="922"/>
      <c r="C57" s="922"/>
      <c r="D57" s="1029"/>
      <c r="E57" s="1029"/>
      <c r="F57" s="1029"/>
      <c r="G57" s="1064"/>
      <c r="H57" s="1065"/>
      <c r="I57" s="1065"/>
      <c r="J57" s="1066"/>
      <c r="K57" s="985"/>
      <c r="L57" s="1067">
        <f>G57*H57*K57</f>
        <v>0</v>
      </c>
    </row>
    <row r="58" spans="1:12" x14ac:dyDescent="0.25">
      <c r="A58" s="1637" t="s">
        <v>499</v>
      </c>
      <c r="B58" s="1637"/>
      <c r="C58" s="1637"/>
      <c r="D58" s="1637"/>
      <c r="E58" s="1637"/>
      <c r="F58" s="1637"/>
      <c r="G58" s="1637"/>
      <c r="H58" s="1637"/>
      <c r="I58" s="1637"/>
      <c r="J58" s="1637"/>
      <c r="K58" s="1637"/>
      <c r="L58" s="968">
        <f>ROUND(SUM(L49:L57),4)</f>
        <v>0</v>
      </c>
    </row>
    <row r="59" spans="1:12" ht="8.85" customHeight="1" x14ac:dyDescent="0.25">
      <c r="A59" s="990"/>
      <c r="B59" s="990"/>
      <c r="C59" s="990"/>
      <c r="D59" s="990"/>
      <c r="E59" s="990"/>
      <c r="F59" s="990"/>
      <c r="G59" s="875"/>
      <c r="H59" s="991"/>
      <c r="I59" s="991"/>
      <c r="J59" s="992"/>
      <c r="K59" s="993"/>
      <c r="L59" s="994"/>
    </row>
    <row r="60" spans="1:12" ht="20.25" customHeight="1" x14ac:dyDescent="0.25">
      <c r="A60" s="1637" t="s">
        <v>448</v>
      </c>
      <c r="B60" s="1637"/>
      <c r="C60" s="1637"/>
      <c r="D60" s="1637"/>
      <c r="E60" s="1637"/>
      <c r="F60" s="1637"/>
      <c r="G60" s="1637"/>
      <c r="H60" s="1637"/>
      <c r="I60" s="1637"/>
      <c r="J60" s="1637"/>
      <c r="K60" s="1637"/>
      <c r="L60" s="968">
        <f>ROUND(L34+L44+L58,4)</f>
        <v>315.9169</v>
      </c>
    </row>
    <row r="61" spans="1:12" x14ac:dyDescent="0.25">
      <c r="A61" s="1638" t="s">
        <v>449</v>
      </c>
      <c r="B61" s="1638"/>
      <c r="C61" s="1638"/>
      <c r="D61" s="1638"/>
      <c r="E61" s="1638"/>
      <c r="F61" s="1638"/>
      <c r="G61" s="1638"/>
      <c r="H61" s="1638"/>
      <c r="I61" s="1638"/>
      <c r="J61" s="1638"/>
      <c r="K61" s="996">
        <f>[1]LDI!I34</f>
        <v>0.25569999999999998</v>
      </c>
      <c r="L61" s="997">
        <f>ROUND(L60*K61,4)</f>
        <v>80.78</v>
      </c>
    </row>
    <row r="62" spans="1:12" x14ac:dyDescent="0.25">
      <c r="A62" s="1639" t="s">
        <v>450</v>
      </c>
      <c r="B62" s="1639"/>
      <c r="C62" s="1639"/>
      <c r="D62" s="1639"/>
      <c r="E62" s="1639"/>
      <c r="F62" s="1639"/>
      <c r="G62" s="1639"/>
      <c r="H62" s="1639"/>
      <c r="I62" s="1639"/>
      <c r="J62" s="1639"/>
      <c r="K62" s="1639"/>
      <c r="L62" s="1069">
        <f>ROUND(L60+L61,2)</f>
        <v>396.7</v>
      </c>
    </row>
    <row r="63" spans="1:12" ht="6" customHeight="1" x14ac:dyDescent="0.25">
      <c r="A63" s="999"/>
      <c r="B63" s="999"/>
      <c r="C63" s="999"/>
      <c r="D63" s="999"/>
      <c r="E63" s="999"/>
      <c r="F63" s="999"/>
      <c r="G63" s="999"/>
      <c r="H63" s="999"/>
      <c r="I63" s="999"/>
      <c r="J63" s="999"/>
      <c r="K63" s="999"/>
      <c r="L63" s="999"/>
    </row>
    <row r="64" spans="1:12" ht="15" customHeight="1" x14ac:dyDescent="0.25">
      <c r="A64" s="1000" t="s">
        <v>451</v>
      </c>
      <c r="B64" s="1001"/>
      <c r="C64" s="1669" t="s">
        <v>506</v>
      </c>
      <c r="D64" s="1669"/>
      <c r="E64" s="1669"/>
      <c r="F64" s="1669"/>
      <c r="G64" s="1669"/>
      <c r="H64" s="1669"/>
      <c r="I64" s="1669"/>
      <c r="J64" s="1669"/>
      <c r="K64" s="1669"/>
      <c r="L64" s="1669"/>
    </row>
    <row r="65" spans="1:12" ht="11.4" customHeight="1" x14ac:dyDescent="0.25">
      <c r="A65" s="1083"/>
      <c r="B65" s="1084"/>
      <c r="C65" s="1668" t="s">
        <v>507</v>
      </c>
      <c r="D65" s="1668"/>
      <c r="E65" s="1668"/>
      <c r="F65" s="1668"/>
      <c r="G65" s="1668"/>
      <c r="H65" s="1668"/>
      <c r="I65" s="1668"/>
      <c r="J65" s="1668"/>
      <c r="K65" s="1668"/>
      <c r="L65" s="1668"/>
    </row>
    <row r="66" spans="1:12" ht="4.5" customHeight="1" x14ac:dyDescent="0.25">
      <c r="A66" s="1012"/>
      <c r="B66" s="1086"/>
      <c r="C66" s="1014"/>
      <c r="D66" s="1014"/>
      <c r="E66" s="1014"/>
      <c r="F66" s="1014"/>
      <c r="G66" s="1014"/>
      <c r="H66" s="1014"/>
      <c r="I66" s="1014"/>
      <c r="J66" s="1014"/>
      <c r="K66" s="1014"/>
      <c r="L66" s="1015"/>
    </row>
    <row r="67" spans="1:12" ht="7.5" customHeight="1" x14ac:dyDescent="0.25"/>
  </sheetData>
  <sheetProtection selectLockedCells="1" selectUnlockedCells="1"/>
  <mergeCells count="75">
    <mergeCell ref="A60:K60"/>
    <mergeCell ref="A61:J61"/>
    <mergeCell ref="A62:K62"/>
    <mergeCell ref="C64:L64"/>
    <mergeCell ref="C65:L65"/>
    <mergeCell ref="L53:L54"/>
    <mergeCell ref="A55:A56"/>
    <mergeCell ref="B55:B56"/>
    <mergeCell ref="C55:C56"/>
    <mergeCell ref="D55:E56"/>
    <mergeCell ref="F55:F56"/>
    <mergeCell ref="G55:G56"/>
    <mergeCell ref="L55:L56"/>
    <mergeCell ref="A53:A54"/>
    <mergeCell ref="B53:B54"/>
    <mergeCell ref="C53:C54"/>
    <mergeCell ref="D53:E54"/>
    <mergeCell ref="F53:F54"/>
    <mergeCell ref="G53:G54"/>
    <mergeCell ref="A58:K58"/>
    <mergeCell ref="L49:L50"/>
    <mergeCell ref="A51:A52"/>
    <mergeCell ref="B51:B52"/>
    <mergeCell ref="C51:C52"/>
    <mergeCell ref="D51:E52"/>
    <mergeCell ref="F51:F52"/>
    <mergeCell ref="G51:G52"/>
    <mergeCell ref="L51:L52"/>
    <mergeCell ref="A49:A50"/>
    <mergeCell ref="B49:B50"/>
    <mergeCell ref="C49:C50"/>
    <mergeCell ref="D49:E50"/>
    <mergeCell ref="F49:F50"/>
    <mergeCell ref="G49:G50"/>
    <mergeCell ref="L46:L48"/>
    <mergeCell ref="D40:G40"/>
    <mergeCell ref="H40:I40"/>
    <mergeCell ref="D41:G41"/>
    <mergeCell ref="H41:I41"/>
    <mergeCell ref="H43:I43"/>
    <mergeCell ref="A44:K44"/>
    <mergeCell ref="A46:F48"/>
    <mergeCell ref="G46:G48"/>
    <mergeCell ref="H46:K46"/>
    <mergeCell ref="A42:B42"/>
    <mergeCell ref="D42:G42"/>
    <mergeCell ref="H42:I42"/>
    <mergeCell ref="A36:G37"/>
    <mergeCell ref="H36:I37"/>
    <mergeCell ref="J36:J37"/>
    <mergeCell ref="D38:G38"/>
    <mergeCell ref="H38:I38"/>
    <mergeCell ref="D39:G39"/>
    <mergeCell ref="H39:I39"/>
    <mergeCell ref="A34:H34"/>
    <mergeCell ref="I34:K34"/>
    <mergeCell ref="A8:L8"/>
    <mergeCell ref="A9:D9"/>
    <mergeCell ref="A12:L13"/>
    <mergeCell ref="E15:J15"/>
    <mergeCell ref="A17:F18"/>
    <mergeCell ref="G17:G18"/>
    <mergeCell ref="H17:I17"/>
    <mergeCell ref="J17:K17"/>
    <mergeCell ref="A20:K20"/>
    <mergeCell ref="A22:I23"/>
    <mergeCell ref="J22:J23"/>
    <mergeCell ref="K22:K23"/>
    <mergeCell ref="A27:K27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0900-000000000000}">
      <formula1>0</formula1>
      <formula2>0</formula2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7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7"/>
  <sheetViews>
    <sheetView view="pageBreakPreview" zoomScale="90" zoomScaleNormal="80" zoomScaleSheetLayoutView="90" workbookViewId="0">
      <selection activeCell="A19" sqref="A17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9" width="8.21875" style="845" customWidth="1"/>
    <col min="10" max="10" width="10.5546875" style="845" customWidth="1"/>
    <col min="11" max="12" width="10.6640625" style="845" customWidth="1"/>
    <col min="13" max="256" width="11.44140625" customWidth="1"/>
  </cols>
  <sheetData>
    <row r="1" spans="1:12" ht="15.6" x14ac:dyDescent="0.3">
      <c r="A1" s="1617" t="str">
        <f>'[1]Planilha orçamentária'!E4</f>
        <v>PROJETO BÁSICO DE ENGENHARIA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</row>
    <row r="2" spans="1:12" ht="8.25" customHeight="1" x14ac:dyDescent="0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</row>
    <row r="3" spans="1:12" ht="13.8" x14ac:dyDescent="0.25">
      <c r="A3" s="1826" t="str">
        <f>'1.3'!A3:K3</f>
        <v>J J BORGES DE OLIVEIRA EIRELI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846" t="s">
        <v>411</v>
      </c>
    </row>
    <row r="4" spans="1:12" x14ac:dyDescent="0.25">
      <c r="A4" s="1827" t="str">
        <f>'1.3'!A4:K4</f>
        <v>20.129.307/0001-02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847"/>
    </row>
    <row r="5" spans="1:12" ht="6" customHeight="1" x14ac:dyDescent="0.25">
      <c r="A5" s="1670"/>
      <c r="B5" s="1670"/>
      <c r="C5" s="1670"/>
      <c r="D5" s="1670"/>
      <c r="E5" s="1670"/>
      <c r="F5" s="1670"/>
      <c r="G5" s="1670"/>
      <c r="H5" s="1670"/>
      <c r="I5" s="1670"/>
      <c r="J5" s="1670"/>
      <c r="K5" s="1670"/>
      <c r="L5" s="1642" t="s">
        <v>508</v>
      </c>
    </row>
    <row r="6" spans="1:12" x14ac:dyDescent="0.25">
      <c r="A6" s="848"/>
      <c r="B6" s="849"/>
      <c r="C6" s="850"/>
      <c r="D6" s="851"/>
      <c r="E6" s="852"/>
      <c r="F6" s="850"/>
      <c r="G6" s="850"/>
      <c r="H6" s="850"/>
      <c r="I6" s="850"/>
      <c r="J6" s="850"/>
      <c r="K6" s="853"/>
      <c r="L6" s="1642"/>
    </row>
    <row r="7" spans="1:12" x14ac:dyDescent="0.25">
      <c r="A7" s="855"/>
      <c r="B7" s="855"/>
      <c r="C7" s="856"/>
      <c r="D7" s="857"/>
      <c r="E7" s="857"/>
      <c r="F7" s="858"/>
      <c r="G7" s="858"/>
      <c r="H7" s="858"/>
      <c r="I7" s="858"/>
      <c r="J7" s="858"/>
      <c r="K7" s="858"/>
      <c r="L7" s="859"/>
    </row>
    <row r="8" spans="1:12" x14ac:dyDescent="0.25">
      <c r="A8" s="1620"/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</row>
    <row r="9" spans="1:12" ht="12.75" customHeight="1" x14ac:dyDescent="0.25">
      <c r="A9" s="1616" t="s">
        <v>413</v>
      </c>
      <c r="B9" s="1616"/>
      <c r="C9" s="1616"/>
      <c r="D9" s="1616"/>
      <c r="E9" s="860" t="str">
        <f>'[1]Planilha orçamentária'!E9</f>
        <v>Construção / Recuperação e complementação de estradas vicinais</v>
      </c>
      <c r="F9" s="861"/>
      <c r="G9" s="861"/>
      <c r="H9" s="861"/>
      <c r="I9" s="861"/>
      <c r="J9" s="861"/>
      <c r="K9" s="861"/>
      <c r="L9" s="862"/>
    </row>
    <row r="10" spans="1:12" x14ac:dyDescent="0.25">
      <c r="A10" s="863"/>
      <c r="B10" s="851"/>
      <c r="C10" s="864"/>
      <c r="D10" s="851"/>
      <c r="E10" s="851"/>
      <c r="F10" s="850"/>
      <c r="G10" s="850"/>
      <c r="H10" s="850"/>
      <c r="I10" s="850"/>
      <c r="J10" s="850"/>
      <c r="K10" s="850"/>
      <c r="L10" s="865"/>
    </row>
    <row r="11" spans="1:12" x14ac:dyDescent="0.25">
      <c r="A11" s="858"/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9"/>
    </row>
    <row r="12" spans="1:12" x14ac:dyDescent="0.25">
      <c r="A12" s="1621" t="s">
        <v>414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</row>
    <row r="13" spans="1:12" x14ac:dyDescent="0.25">
      <c r="A13" s="1621"/>
      <c r="B13" s="1621"/>
      <c r="C13" s="1621"/>
      <c r="D13" s="1621"/>
      <c r="E13" s="1621"/>
      <c r="F13" s="1621"/>
      <c r="G13" s="1621"/>
      <c r="H13" s="1621"/>
      <c r="I13" s="1621"/>
      <c r="J13" s="1621"/>
      <c r="K13" s="1621"/>
      <c r="L13" s="1621"/>
    </row>
    <row r="14" spans="1:12" ht="9.4499999999999993" customHeight="1" x14ac:dyDescent="0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</row>
    <row r="15" spans="1:12" ht="79.5" customHeight="1" x14ac:dyDescent="0.25">
      <c r="A15" s="867" t="s">
        <v>415</v>
      </c>
      <c r="B15" s="868"/>
      <c r="C15" s="868"/>
      <c r="D15" s="869" t="str">
        <f>'[1]Planilha orçamentária'!B24</f>
        <v>2.1</v>
      </c>
      <c r="E15" s="1671" t="s">
        <v>509</v>
      </c>
      <c r="F15" s="1671"/>
      <c r="G15" s="1671"/>
      <c r="H15" s="1671"/>
      <c r="I15" s="1671"/>
      <c r="J15" s="1671"/>
      <c r="K15" s="871" t="s">
        <v>417</v>
      </c>
      <c r="L15" s="872" t="s">
        <v>38</v>
      </c>
    </row>
    <row r="16" spans="1:12" x14ac:dyDescent="0.25">
      <c r="A16" s="855"/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</row>
    <row r="17" spans="1:15" x14ac:dyDescent="0.25">
      <c r="A17" s="1644" t="s">
        <v>426</v>
      </c>
      <c r="B17" s="1644"/>
      <c r="C17" s="1644"/>
      <c r="D17" s="1644"/>
      <c r="E17" s="1644"/>
      <c r="F17" s="1644"/>
      <c r="G17" s="1630" t="s">
        <v>164</v>
      </c>
      <c r="H17" s="1630" t="s">
        <v>284</v>
      </c>
      <c r="I17" s="1630"/>
      <c r="J17" s="1645" t="s">
        <v>471</v>
      </c>
      <c r="K17" s="1645"/>
      <c r="L17" s="1018" t="s">
        <v>472</v>
      </c>
    </row>
    <row r="18" spans="1:15" x14ac:dyDescent="0.25">
      <c r="A18" s="1644"/>
      <c r="B18" s="1644"/>
      <c r="C18" s="1644"/>
      <c r="D18" s="1644"/>
      <c r="E18" s="1644"/>
      <c r="F18" s="1644"/>
      <c r="G18" s="1630"/>
      <c r="H18" s="886" t="s">
        <v>473</v>
      </c>
      <c r="I18" s="1019" t="s">
        <v>474</v>
      </c>
      <c r="J18" s="886" t="s">
        <v>473</v>
      </c>
      <c r="K18" s="1019" t="s">
        <v>474</v>
      </c>
      <c r="L18" s="1020" t="s">
        <v>475</v>
      </c>
    </row>
    <row r="19" spans="1:15" ht="32.4" customHeight="1" x14ac:dyDescent="0.25">
      <c r="A19" s="1672" t="s">
        <v>510</v>
      </c>
      <c r="B19" s="1672"/>
      <c r="C19" s="991" t="s">
        <v>434</v>
      </c>
      <c r="D19" s="1673" t="s">
        <v>511</v>
      </c>
      <c r="E19" s="1673"/>
      <c r="F19" s="1673"/>
      <c r="G19" s="1023">
        <v>1</v>
      </c>
      <c r="H19" s="1024">
        <v>1</v>
      </c>
      <c r="I19" s="904"/>
      <c r="J19" s="929">
        <f>ROUND(L31*0.1,2)</f>
        <v>26.01</v>
      </c>
      <c r="K19" s="929"/>
      <c r="L19" s="929">
        <f>(G19*H19*J19)+(G19*I19*K19)</f>
        <v>26.01</v>
      </c>
    </row>
    <row r="20" spans="1:15" x14ac:dyDescent="0.25">
      <c r="A20" s="1074"/>
      <c r="B20" s="922"/>
      <c r="C20" s="922"/>
      <c r="D20" s="1029"/>
      <c r="E20" s="1029"/>
      <c r="F20" s="1030"/>
      <c r="G20" s="1031"/>
      <c r="H20" s="1024"/>
      <c r="I20" s="904"/>
      <c r="J20" s="1075"/>
      <c r="K20" s="906"/>
      <c r="L20" s="929"/>
    </row>
    <row r="21" spans="1:15" x14ac:dyDescent="0.25">
      <c r="A21" s="1646" t="s">
        <v>476</v>
      </c>
      <c r="B21" s="1646"/>
      <c r="C21" s="1646"/>
      <c r="D21" s="1646"/>
      <c r="E21" s="1646"/>
      <c r="F21" s="1646"/>
      <c r="G21" s="1646"/>
      <c r="H21" s="1646"/>
      <c r="I21" s="1646"/>
      <c r="J21" s="1646"/>
      <c r="K21" s="1646"/>
      <c r="L21" s="976">
        <f>ROUND(SUM(L19:L20),4)</f>
        <v>26.01</v>
      </c>
    </row>
    <row r="22" spans="1:15" x14ac:dyDescent="0.25">
      <c r="A22" s="873"/>
      <c r="B22" s="873"/>
      <c r="C22" s="873"/>
      <c r="D22" s="873"/>
      <c r="E22" s="873"/>
      <c r="F22" s="873"/>
      <c r="G22" s="873"/>
      <c r="H22" s="966"/>
      <c r="I22" s="966"/>
      <c r="J22" s="966"/>
      <c r="K22" s="966"/>
      <c r="L22" s="966"/>
    </row>
    <row r="23" spans="1:15" ht="14.7" customHeight="1" x14ac:dyDescent="0.25">
      <c r="A23" s="1629" t="s">
        <v>439</v>
      </c>
      <c r="B23" s="1629"/>
      <c r="C23" s="1629"/>
      <c r="D23" s="1629"/>
      <c r="E23" s="1629"/>
      <c r="F23" s="1629"/>
      <c r="G23" s="1629"/>
      <c r="H23" s="1629"/>
      <c r="I23" s="1629"/>
      <c r="J23" s="1630" t="s">
        <v>164</v>
      </c>
      <c r="K23" s="1631" t="s">
        <v>512</v>
      </c>
      <c r="L23" s="1018" t="s">
        <v>441</v>
      </c>
      <c r="N23">
        <v>0.4</v>
      </c>
    </row>
    <row r="24" spans="1:15" x14ac:dyDescent="0.25">
      <c r="A24" s="1629"/>
      <c r="B24" s="1629"/>
      <c r="C24" s="1629"/>
      <c r="D24" s="1629"/>
      <c r="E24" s="1629"/>
      <c r="F24" s="1629"/>
      <c r="G24" s="1629"/>
      <c r="H24" s="1629"/>
      <c r="I24" s="1629"/>
      <c r="J24" s="1630"/>
      <c r="K24" s="1631"/>
      <c r="L24" s="1020" t="s">
        <v>475</v>
      </c>
    </row>
    <row r="25" spans="1:15" ht="19.5" customHeight="1" x14ac:dyDescent="0.25">
      <c r="A25" s="984" t="str">
        <f>'[1]Atualização de custos unitarios'!A106</f>
        <v>DNIT –</v>
      </c>
      <c r="B25" s="1087" t="str">
        <f>'[1]Atualização de custos unitarios'!B106</f>
        <v>NS - P2</v>
      </c>
      <c r="C25" s="922" t="s">
        <v>434</v>
      </c>
      <c r="D25" s="885" t="str">
        <f>'[1]Atualização de custos unitarios'!C106</f>
        <v>Engenheiro / Profissional Pleno</v>
      </c>
      <c r="E25" s="885"/>
      <c r="F25" s="1088" t="s">
        <v>513</v>
      </c>
      <c r="G25" s="855"/>
      <c r="H25" s="922"/>
      <c r="I25" s="1035"/>
      <c r="J25" s="1089">
        <f t="shared" ref="J25:J27" si="0">1/220</f>
        <v>4.5454545454545452E-3</v>
      </c>
      <c r="K25" s="1077">
        <v>10830.92</v>
      </c>
      <c r="L25" s="907">
        <f t="shared" ref="L25:L29" si="1">J25*K25</f>
        <v>49.231454545454547</v>
      </c>
      <c r="N25">
        <v>10831.32</v>
      </c>
      <c r="O25">
        <f>N25-$N$23</f>
        <v>10830.92</v>
      </c>
    </row>
    <row r="26" spans="1:15" ht="20.25" customHeight="1" x14ac:dyDescent="0.25">
      <c r="A26" s="984" t="str">
        <f>'[1]Atualização de custos unitarios'!A105</f>
        <v>DNIT –</v>
      </c>
      <c r="B26" s="1087" t="str">
        <f>'[1]Atualização de custos unitarios'!B105</f>
        <v>NS - P1</v>
      </c>
      <c r="C26" s="922" t="s">
        <v>434</v>
      </c>
      <c r="D26" s="885" t="str">
        <f>'[1]Atualização de custos unitarios'!C105</f>
        <v>Engenheiro / Profissional Sênior</v>
      </c>
      <c r="E26" s="885"/>
      <c r="F26" s="999"/>
      <c r="G26" s="1088" t="s">
        <v>514</v>
      </c>
      <c r="H26" s="922"/>
      <c r="I26" s="1035"/>
      <c r="J26" s="1089">
        <f t="shared" si="0"/>
        <v>4.5454545454545452E-3</v>
      </c>
      <c r="K26" s="985">
        <v>13844.65</v>
      </c>
      <c r="L26" s="907">
        <f t="shared" si="1"/>
        <v>62.930227272727265</v>
      </c>
      <c r="N26">
        <v>13845.05</v>
      </c>
      <c r="O26">
        <f t="shared" ref="O26:O29" si="2">N26-$N$23</f>
        <v>13844.65</v>
      </c>
    </row>
    <row r="27" spans="1:15" x14ac:dyDescent="0.25">
      <c r="A27" s="984" t="str">
        <f>'[1]Atualização de custos unitarios'!A106</f>
        <v>DNIT –</v>
      </c>
      <c r="B27" s="1087" t="str">
        <f>'[1]Atualização de custos unitarios'!B106</f>
        <v>NS - P2</v>
      </c>
      <c r="C27" s="922" t="s">
        <v>434</v>
      </c>
      <c r="D27" s="885" t="str">
        <f>'[1]Atualização de custos unitarios'!C106</f>
        <v>Engenheiro / Profissional Pleno</v>
      </c>
      <c r="E27" s="885"/>
      <c r="F27" s="999"/>
      <c r="G27" s="1088" t="s">
        <v>515</v>
      </c>
      <c r="H27" s="922"/>
      <c r="I27" s="1035"/>
      <c r="J27" s="1089">
        <f t="shared" si="0"/>
        <v>4.5454545454545452E-3</v>
      </c>
      <c r="K27" s="985">
        <v>10830.92</v>
      </c>
      <c r="L27" s="907">
        <f t="shared" si="1"/>
        <v>49.231454545454547</v>
      </c>
      <c r="N27">
        <v>10831.32</v>
      </c>
      <c r="O27">
        <f t="shared" si="2"/>
        <v>10830.92</v>
      </c>
    </row>
    <row r="28" spans="1:15" ht="9.4499999999999993" customHeight="1" x14ac:dyDescent="0.25">
      <c r="A28" s="984" t="str">
        <f>'[1]Atualização de custos unitarios'!A108</f>
        <v>DNIT –</v>
      </c>
      <c r="B28" s="1087" t="str">
        <f>'[1]Atualização de custos unitarios'!B108</f>
        <v>NT - T2</v>
      </c>
      <c r="C28" s="922" t="s">
        <v>434</v>
      </c>
      <c r="D28" s="885" t="str">
        <f>'[1]Atualização de custos unitarios'!C108</f>
        <v>Técnico Pleno (Topógrafo / Desenhista Projetista)</v>
      </c>
      <c r="E28" s="885"/>
      <c r="F28" s="999"/>
      <c r="G28" s="1088" t="s">
        <v>516</v>
      </c>
      <c r="H28" s="922"/>
      <c r="I28" s="1035"/>
      <c r="J28" s="1089">
        <f>4/220</f>
        <v>1.8181818181818181E-2</v>
      </c>
      <c r="K28" s="985">
        <v>3620.13</v>
      </c>
      <c r="L28" s="907">
        <f t="shared" si="1"/>
        <v>65.820545454545453</v>
      </c>
      <c r="N28">
        <v>3620.53</v>
      </c>
      <c r="O28">
        <f t="shared" si="2"/>
        <v>3620.13</v>
      </c>
    </row>
    <row r="29" spans="1:15" x14ac:dyDescent="0.25">
      <c r="A29" s="984" t="str">
        <f>'[1]Atualização de custos unitarios'!A108</f>
        <v>DNIT –</v>
      </c>
      <c r="B29" s="1034" t="str">
        <f>'[1]Atualização de custos unitarios'!B108</f>
        <v>NT - T2</v>
      </c>
      <c r="C29" s="922" t="s">
        <v>434</v>
      </c>
      <c r="D29" s="885" t="str">
        <f>'[1]Atualização de custos unitarios'!C108</f>
        <v>Técnico Pleno (Topógrafo / Desenhista Projetista)</v>
      </c>
      <c r="E29" s="885"/>
      <c r="F29" s="999"/>
      <c r="G29" s="1088" t="s">
        <v>517</v>
      </c>
      <c r="H29" s="922"/>
      <c r="I29" s="1035"/>
      <c r="J29" s="1089">
        <f>2/220</f>
        <v>9.0909090909090905E-3</v>
      </c>
      <c r="K29" s="985">
        <v>3620.13</v>
      </c>
      <c r="L29" s="907">
        <f t="shared" si="1"/>
        <v>32.910272727272726</v>
      </c>
      <c r="N29">
        <v>3620.53</v>
      </c>
      <c r="O29">
        <f t="shared" si="2"/>
        <v>3620.13</v>
      </c>
    </row>
    <row r="30" spans="1:15" x14ac:dyDescent="0.25">
      <c r="A30" s="1037"/>
      <c r="B30" s="1038"/>
      <c r="C30" s="1029"/>
      <c r="D30" s="1029"/>
      <c r="E30" s="1029"/>
      <c r="F30" s="1029"/>
      <c r="G30" s="849"/>
      <c r="H30" s="1019"/>
      <c r="I30" s="1039"/>
      <c r="J30" s="1090"/>
      <c r="K30" s="985"/>
      <c r="L30" s="907"/>
    </row>
    <row r="31" spans="1:15" x14ac:dyDescent="0.25">
      <c r="A31" s="1646" t="s">
        <v>478</v>
      </c>
      <c r="B31" s="1646"/>
      <c r="C31" s="1646"/>
      <c r="D31" s="1646"/>
      <c r="E31" s="1646"/>
      <c r="F31" s="1646"/>
      <c r="G31" s="1646"/>
      <c r="H31" s="1646"/>
      <c r="I31" s="1646"/>
      <c r="J31" s="1646"/>
      <c r="K31" s="1646"/>
      <c r="L31" s="976">
        <f>ROUND(SUM(L25:L30),4)</f>
        <v>260.12400000000002</v>
      </c>
    </row>
    <row r="32" spans="1:15" x14ac:dyDescent="0.25">
      <c r="A32" s="873"/>
      <c r="B32" s="873"/>
      <c r="C32" s="873"/>
      <c r="D32" s="873"/>
      <c r="E32" s="873"/>
      <c r="F32" s="873"/>
      <c r="G32" s="873"/>
      <c r="H32" s="873"/>
      <c r="I32" s="873"/>
      <c r="J32" s="966"/>
      <c r="K32" s="966"/>
      <c r="L32" s="1040"/>
    </row>
    <row r="33" spans="1:15" x14ac:dyDescent="0.25">
      <c r="A33" s="873"/>
      <c r="B33" s="873"/>
      <c r="C33" s="873"/>
      <c r="D33" s="873"/>
      <c r="E33" s="873"/>
      <c r="F33" s="873"/>
      <c r="G33" s="873"/>
      <c r="H33" s="873"/>
      <c r="I33" s="873"/>
      <c r="J33" s="966"/>
      <c r="K33" s="1041" t="s">
        <v>479</v>
      </c>
      <c r="L33" s="1042">
        <f>L21+L31</f>
        <v>286.13400000000001</v>
      </c>
    </row>
    <row r="34" spans="1:15" x14ac:dyDescent="0.25">
      <c r="A34" s="1043" t="s">
        <v>480</v>
      </c>
      <c r="B34" s="873"/>
      <c r="C34" s="873"/>
      <c r="D34" s="873"/>
      <c r="E34" s="873"/>
      <c r="F34" s="1044">
        <v>1</v>
      </c>
      <c r="G34" s="1045" t="str">
        <f>L15</f>
        <v>km</v>
      </c>
      <c r="H34" s="1043"/>
      <c r="I34" s="873"/>
      <c r="J34" s="1046"/>
      <c r="K34" s="1047" t="s">
        <v>481</v>
      </c>
      <c r="L34" s="976">
        <f>L33/F34</f>
        <v>286.13400000000001</v>
      </c>
    </row>
    <row r="35" spans="1:15" x14ac:dyDescent="0.25">
      <c r="A35" s="1043"/>
      <c r="B35" s="873" t="s">
        <v>482</v>
      </c>
      <c r="C35" s="873"/>
      <c r="D35" s="873"/>
      <c r="E35" s="873"/>
      <c r="F35" s="1044"/>
      <c r="G35" s="1045"/>
      <c r="H35" s="1043"/>
      <c r="I35" s="873"/>
      <c r="J35" s="1046"/>
      <c r="K35" s="1041" t="s">
        <v>483</v>
      </c>
      <c r="L35" s="976">
        <f>L34*F35</f>
        <v>0</v>
      </c>
    </row>
    <row r="36" spans="1:15" x14ac:dyDescent="0.25">
      <c r="A36" s="1043"/>
      <c r="B36" s="873" t="s">
        <v>484</v>
      </c>
      <c r="C36" s="873"/>
      <c r="D36" s="873"/>
      <c r="E36" s="873"/>
      <c r="F36" s="1044"/>
      <c r="G36" s="1045"/>
      <c r="H36" s="1046"/>
      <c r="I36" s="1048"/>
      <c r="J36" s="966"/>
      <c r="K36" s="1041" t="s">
        <v>485</v>
      </c>
      <c r="L36" s="976">
        <f>L34*F36</f>
        <v>0</v>
      </c>
    </row>
    <row r="37" spans="1:15" x14ac:dyDescent="0.25">
      <c r="A37" s="873"/>
      <c r="B37" s="873"/>
      <c r="C37" s="873"/>
      <c r="D37" s="873"/>
      <c r="E37" s="873"/>
      <c r="F37" s="873"/>
      <c r="G37" s="873"/>
      <c r="H37" s="873"/>
      <c r="I37" s="873"/>
      <c r="J37" s="966"/>
      <c r="K37" s="966"/>
      <c r="L37" s="1040"/>
    </row>
    <row r="38" spans="1:15" x14ac:dyDescent="0.25">
      <c r="A38" s="1629" t="s">
        <v>486</v>
      </c>
      <c r="B38" s="1629"/>
      <c r="C38" s="1629"/>
      <c r="D38" s="1629"/>
      <c r="E38" s="1629"/>
      <c r="F38" s="1629"/>
      <c r="G38" s="1629"/>
      <c r="H38" s="1629"/>
      <c r="I38" s="1639" t="s">
        <v>487</v>
      </c>
      <c r="J38" s="1639"/>
      <c r="K38" s="1639"/>
      <c r="L38" s="1049">
        <f>ROUND(SUM(L34:L37),4)</f>
        <v>286.13400000000001</v>
      </c>
    </row>
    <row r="39" spans="1:15" x14ac:dyDescent="0.25">
      <c r="A39" s="855"/>
      <c r="B39" s="855"/>
      <c r="C39" s="855"/>
      <c r="D39" s="855"/>
      <c r="E39" s="855"/>
      <c r="F39" s="855"/>
      <c r="G39" s="1050"/>
      <c r="H39" s="1050"/>
      <c r="I39" s="876"/>
      <c r="J39" s="876"/>
      <c r="K39" s="876"/>
      <c r="L39" s="855"/>
    </row>
    <row r="40" spans="1:15" x14ac:dyDescent="0.25">
      <c r="A40" s="1629" t="s">
        <v>488</v>
      </c>
      <c r="B40" s="1629"/>
      <c r="C40" s="1629"/>
      <c r="D40" s="1629"/>
      <c r="E40" s="1629"/>
      <c r="F40" s="1629"/>
      <c r="G40" s="1629"/>
      <c r="H40" s="1630" t="s">
        <v>164</v>
      </c>
      <c r="I40" s="1630"/>
      <c r="J40" s="1630" t="s">
        <v>163</v>
      </c>
      <c r="K40" s="1018" t="s">
        <v>489</v>
      </c>
      <c r="L40" s="1018" t="s">
        <v>472</v>
      </c>
    </row>
    <row r="41" spans="1:15" x14ac:dyDescent="0.25">
      <c r="A41" s="1629"/>
      <c r="B41" s="1629"/>
      <c r="C41" s="1629"/>
      <c r="D41" s="1629"/>
      <c r="E41" s="1629"/>
      <c r="F41" s="1629"/>
      <c r="G41" s="1629"/>
      <c r="H41" s="1630"/>
      <c r="I41" s="1630"/>
      <c r="J41" s="1630"/>
      <c r="K41" s="1051" t="s">
        <v>490</v>
      </c>
      <c r="L41" s="1020" t="s">
        <v>490</v>
      </c>
    </row>
    <row r="42" spans="1:15" x14ac:dyDescent="0.25">
      <c r="A42" s="1091" t="str">
        <f>'[1]Atualização de custos unitarios'!A114</f>
        <v>DNIT –</v>
      </c>
      <c r="B42" s="1092" t="str">
        <f>'[1]Atualização de custos unitarios'!B114</f>
        <v>Veículos</v>
      </c>
      <c r="C42" s="922" t="s">
        <v>434</v>
      </c>
      <c r="D42" s="1674" t="str">
        <f>'[1]Atualização de custos unitarios'!C114</f>
        <v>Caminhonete -  140 a 165 cv</v>
      </c>
      <c r="E42" s="1674"/>
      <c r="F42" s="1674"/>
      <c r="G42" s="1093"/>
      <c r="H42" s="1649">
        <f>6/8/30</f>
        <v>2.5000000000000001E-2</v>
      </c>
      <c r="I42" s="1649"/>
      <c r="J42" s="1053" t="str">
        <f>'[1]Atualização de custos unitarios'!D114</f>
        <v>mês</v>
      </c>
      <c r="K42" s="985">
        <v>4803.1400000000003</v>
      </c>
      <c r="L42" s="929">
        <f>K42*H42</f>
        <v>120.07850000000002</v>
      </c>
      <c r="N42">
        <v>4803.54</v>
      </c>
      <c r="O42">
        <f>N42-$N$23</f>
        <v>4803.1400000000003</v>
      </c>
    </row>
    <row r="43" spans="1:15" ht="6.75" customHeight="1" x14ac:dyDescent="0.25">
      <c r="A43" s="1094"/>
      <c r="B43" s="885"/>
      <c r="C43" s="922"/>
      <c r="D43" s="1029"/>
      <c r="E43" s="1029"/>
      <c r="F43" s="1029"/>
      <c r="G43" s="1056"/>
      <c r="H43" s="1660"/>
      <c r="I43" s="1660"/>
      <c r="J43" s="1053"/>
      <c r="K43" s="985"/>
      <c r="L43" s="1075"/>
    </row>
    <row r="44" spans="1:15" x14ac:dyDescent="0.25">
      <c r="A44" s="1637" t="s">
        <v>491</v>
      </c>
      <c r="B44" s="1637"/>
      <c r="C44" s="1637"/>
      <c r="D44" s="1637"/>
      <c r="E44" s="1637"/>
      <c r="F44" s="1637"/>
      <c r="G44" s="1637"/>
      <c r="H44" s="1637"/>
      <c r="I44" s="1637"/>
      <c r="J44" s="1637"/>
      <c r="K44" s="1637"/>
      <c r="L44" s="1049">
        <f>ROUND(SUM(L42:L43),4)</f>
        <v>120.07850000000001</v>
      </c>
    </row>
    <row r="45" spans="1:15" ht="9.4499999999999993" customHeight="1" x14ac:dyDescent="0.25">
      <c r="A45" s="875"/>
      <c r="B45" s="875"/>
      <c r="C45" s="875"/>
      <c r="D45" s="875"/>
      <c r="E45" s="875"/>
      <c r="F45" s="875"/>
      <c r="G45" s="875"/>
      <c r="H45" s="875"/>
      <c r="I45" s="875"/>
      <c r="J45" s="855"/>
      <c r="K45" s="1057"/>
      <c r="L45" s="1058"/>
    </row>
    <row r="46" spans="1:15" ht="14.7" customHeight="1" x14ac:dyDescent="0.25">
      <c r="A46" s="1675" t="s">
        <v>518</v>
      </c>
      <c r="B46" s="1675"/>
      <c r="C46" s="1675"/>
      <c r="D46" s="1675"/>
      <c r="E46" s="1675"/>
      <c r="F46" s="1675"/>
      <c r="G46" s="1676" t="s">
        <v>519</v>
      </c>
      <c r="H46" s="1677" t="s">
        <v>520</v>
      </c>
      <c r="I46" s="1677"/>
      <c r="J46" s="1677"/>
      <c r="K46" s="1095" t="s">
        <v>521</v>
      </c>
      <c r="L46" s="1095" t="s">
        <v>522</v>
      </c>
    </row>
    <row r="47" spans="1:15" x14ac:dyDescent="0.25">
      <c r="A47" s="1675"/>
      <c r="B47" s="1675"/>
      <c r="C47" s="1675"/>
      <c r="D47" s="1675"/>
      <c r="E47" s="1675"/>
      <c r="F47" s="1675"/>
      <c r="G47" s="1676"/>
      <c r="H47" s="1677"/>
      <c r="I47" s="1677"/>
      <c r="J47" s="1677"/>
      <c r="K47" s="1096" t="s">
        <v>523</v>
      </c>
      <c r="L47" s="1097"/>
    </row>
    <row r="48" spans="1:15" x14ac:dyDescent="0.25">
      <c r="A48" s="1098" t="s">
        <v>524</v>
      </c>
      <c r="B48" s="1099"/>
      <c r="C48" s="1099"/>
      <c r="D48" s="1099"/>
      <c r="E48" s="1099"/>
      <c r="F48" s="1100"/>
      <c r="G48" s="1101">
        <f>'[1]Atualização de custos unitarios'!E97</f>
        <v>0.84040000000000004</v>
      </c>
      <c r="H48" s="1102" t="s">
        <v>525</v>
      </c>
      <c r="I48" s="1103"/>
      <c r="J48" s="1104"/>
      <c r="K48" s="897">
        <f>L31</f>
        <v>260.12400000000002</v>
      </c>
      <c r="L48" s="1105">
        <f>K48*G48</f>
        <v>218.60820960000004</v>
      </c>
    </row>
    <row r="49" spans="1:12" x14ac:dyDescent="0.25">
      <c r="A49" s="1106" t="s">
        <v>526</v>
      </c>
      <c r="B49" s="1107"/>
      <c r="C49" s="1107"/>
      <c r="D49" s="1107"/>
      <c r="E49" s="1107"/>
      <c r="F49" s="1108"/>
      <c r="G49" s="1109">
        <f>'[1]Atualização de custos unitarios'!E98</f>
        <v>0.2</v>
      </c>
      <c r="H49" s="1110"/>
      <c r="I49" s="1111"/>
      <c r="J49" s="1112"/>
      <c r="K49" s="907"/>
      <c r="L49" s="929"/>
    </row>
    <row r="50" spans="1:12" x14ac:dyDescent="0.25">
      <c r="A50" s="1106" t="s">
        <v>527</v>
      </c>
      <c r="B50" s="1107"/>
      <c r="C50" s="1107"/>
      <c r="D50" s="1107"/>
      <c r="E50" s="1107"/>
      <c r="F50" s="1108"/>
      <c r="G50" s="1109">
        <f>'[1]Atualização de custos unitarios'!E99</f>
        <v>0.3</v>
      </c>
      <c r="H50" s="1110" t="s">
        <v>525</v>
      </c>
      <c r="I50" s="1111"/>
      <c r="J50" s="1112"/>
      <c r="K50" s="907">
        <f>L31</f>
        <v>260.12400000000002</v>
      </c>
      <c r="L50" s="929">
        <f>K50*(G50)</f>
        <v>78.037199999999999</v>
      </c>
    </row>
    <row r="51" spans="1:12" x14ac:dyDescent="0.25">
      <c r="A51" s="1106" t="s">
        <v>528</v>
      </c>
      <c r="B51" s="1107"/>
      <c r="C51" s="1107"/>
      <c r="D51" s="1107"/>
      <c r="E51" s="1107"/>
      <c r="F51" s="1108"/>
      <c r="G51" s="1109">
        <f>'[1]Atualização de custos unitarios'!E100</f>
        <v>0.12</v>
      </c>
      <c r="H51" s="1110" t="s">
        <v>529</v>
      </c>
      <c r="I51" s="1111"/>
      <c r="J51" s="1112"/>
      <c r="K51" s="907">
        <f>L38+L44+L48+L50</f>
        <v>702.85790960000008</v>
      </c>
      <c r="L51" s="929">
        <f t="shared" ref="L51:L52" si="3">(K51/(1-G51))-K51</f>
        <v>95.844260400000053</v>
      </c>
    </row>
    <row r="52" spans="1:12" x14ac:dyDescent="0.25">
      <c r="A52" s="1113" t="s">
        <v>530</v>
      </c>
      <c r="B52" s="1114"/>
      <c r="C52" s="1114"/>
      <c r="D52" s="1114"/>
      <c r="E52" s="1114"/>
      <c r="F52" s="1115"/>
      <c r="G52" s="1116">
        <f>'[1]Atualização de custos unitarios'!E101</f>
        <v>0.1396</v>
      </c>
      <c r="H52" s="1117" t="s">
        <v>531</v>
      </c>
      <c r="I52" s="1118"/>
      <c r="J52" s="1119"/>
      <c r="K52" s="1120">
        <f>K51+L51</f>
        <v>798.70217000000014</v>
      </c>
      <c r="L52" s="929">
        <f t="shared" si="3"/>
        <v>129.58951991166896</v>
      </c>
    </row>
    <row r="53" spans="1:12" x14ac:dyDescent="0.25">
      <c r="A53" s="1678" t="s">
        <v>532</v>
      </c>
      <c r="B53" s="1678"/>
      <c r="C53" s="1678"/>
      <c r="D53" s="1678"/>
      <c r="E53" s="1678"/>
      <c r="F53" s="1678"/>
      <c r="G53" s="1678"/>
      <c r="H53" s="1678"/>
      <c r="I53" s="1678"/>
      <c r="J53" s="1678"/>
      <c r="K53" s="1678"/>
      <c r="L53" s="968">
        <f>ROUND(SUM(L48:L52),4)</f>
        <v>522.07920000000001</v>
      </c>
    </row>
    <row r="54" spans="1:12" ht="6.75" customHeight="1" x14ac:dyDescent="0.25">
      <c r="A54" s="990"/>
      <c r="B54" s="990"/>
      <c r="C54" s="990"/>
      <c r="D54" s="990"/>
      <c r="E54" s="990"/>
      <c r="F54" s="990"/>
      <c r="G54" s="875"/>
      <c r="H54" s="991"/>
      <c r="I54" s="991"/>
      <c r="J54" s="992"/>
      <c r="K54" s="993"/>
      <c r="L54" s="994"/>
    </row>
    <row r="55" spans="1:12" x14ac:dyDescent="0.25">
      <c r="A55" s="1637" t="s">
        <v>533</v>
      </c>
      <c r="B55" s="1637"/>
      <c r="C55" s="1637"/>
      <c r="D55" s="1637"/>
      <c r="E55" s="1637"/>
      <c r="F55" s="1637"/>
      <c r="G55" s="1637"/>
      <c r="H55" s="1637"/>
      <c r="I55" s="1637"/>
      <c r="J55" s="1637"/>
      <c r="K55" s="1637"/>
      <c r="L55" s="968">
        <f>ROUND(L38+L44+L53,4)</f>
        <v>928.29169999999999</v>
      </c>
    </row>
    <row r="56" spans="1:12" x14ac:dyDescent="0.25">
      <c r="A56" s="995"/>
      <c r="B56" s="1121"/>
      <c r="C56" s="1121"/>
      <c r="D56" s="1121"/>
      <c r="E56" s="1121"/>
      <c r="F56" s="1121"/>
      <c r="G56" s="1121"/>
      <c r="H56" s="1121"/>
      <c r="I56" s="1121"/>
      <c r="J56" s="1121"/>
      <c r="K56" s="1122" t="s">
        <v>534</v>
      </c>
      <c r="L56" s="1123">
        <v>0.60000000000000009</v>
      </c>
    </row>
    <row r="57" spans="1:12" x14ac:dyDescent="0.25">
      <c r="A57" s="1639" t="s">
        <v>450</v>
      </c>
      <c r="B57" s="1639"/>
      <c r="C57" s="1639"/>
      <c r="D57" s="1639"/>
      <c r="E57" s="1639"/>
      <c r="F57" s="1639"/>
      <c r="G57" s="1639"/>
      <c r="H57" s="1639"/>
      <c r="I57" s="1639"/>
      <c r="J57" s="1639"/>
      <c r="K57" s="1639"/>
      <c r="L57" s="1069">
        <f>ROUND(L55*L56,2)</f>
        <v>556.98</v>
      </c>
    </row>
    <row r="58" spans="1:12" ht="21.6" customHeight="1" x14ac:dyDescent="0.25">
      <c r="A58" s="1000" t="s">
        <v>451</v>
      </c>
      <c r="B58" s="1001"/>
      <c r="C58" s="1124" t="s">
        <v>455</v>
      </c>
      <c r="D58" s="1679" t="s">
        <v>535</v>
      </c>
      <c r="E58" s="1679"/>
      <c r="F58" s="1679"/>
      <c r="G58" s="1679"/>
      <c r="H58" s="1679"/>
      <c r="I58" s="1679"/>
      <c r="J58" s="1679"/>
      <c r="K58" s="1679"/>
      <c r="L58" s="1679"/>
    </row>
    <row r="59" spans="1:12" ht="21.75" customHeight="1" x14ac:dyDescent="0.25">
      <c r="A59" s="1006"/>
      <c r="B59" s="1084"/>
      <c r="C59" s="1125" t="s">
        <v>457</v>
      </c>
      <c r="D59" s="1680" t="s">
        <v>536</v>
      </c>
      <c r="E59" s="1680"/>
      <c r="F59" s="1680"/>
      <c r="G59" s="1680"/>
      <c r="H59" s="1680"/>
      <c r="I59" s="1680"/>
      <c r="J59" s="1680"/>
      <c r="K59" s="1680"/>
      <c r="L59" s="1680"/>
    </row>
    <row r="60" spans="1:12" ht="20.25" customHeight="1" x14ac:dyDescent="0.25">
      <c r="A60" s="1006"/>
      <c r="B60" s="1084"/>
      <c r="C60" s="1050" t="s">
        <v>395</v>
      </c>
      <c r="D60" s="855" t="s">
        <v>537</v>
      </c>
      <c r="E60" s="855"/>
      <c r="F60" s="855"/>
      <c r="G60" s="855"/>
      <c r="H60" s="855"/>
      <c r="I60" s="855"/>
      <c r="J60" s="855"/>
      <c r="K60" s="855"/>
      <c r="L60" s="880"/>
    </row>
    <row r="61" spans="1:12" x14ac:dyDescent="0.25">
      <c r="A61" s="1126"/>
      <c r="B61" s="1086"/>
      <c r="C61" s="1127" t="s">
        <v>460</v>
      </c>
      <c r="D61" s="849" t="s">
        <v>538</v>
      </c>
      <c r="E61" s="849"/>
      <c r="F61" s="849"/>
      <c r="G61" s="849"/>
      <c r="H61" s="849"/>
      <c r="I61" s="849"/>
      <c r="J61" s="849"/>
      <c r="K61" s="849"/>
      <c r="L61" s="1056"/>
    </row>
    <row r="67" ht="7.5" customHeight="1" x14ac:dyDescent="0.25"/>
  </sheetData>
  <sheetProtection selectLockedCells="1" selectUnlockedCells="1"/>
  <mergeCells count="38">
    <mergeCell ref="A53:K53"/>
    <mergeCell ref="A55:K55"/>
    <mergeCell ref="A57:K57"/>
    <mergeCell ref="D58:L58"/>
    <mergeCell ref="D59:L59"/>
    <mergeCell ref="D42:F42"/>
    <mergeCell ref="H42:I42"/>
    <mergeCell ref="H43:I43"/>
    <mergeCell ref="A44:K44"/>
    <mergeCell ref="A46:F47"/>
    <mergeCell ref="G46:G47"/>
    <mergeCell ref="H46:J47"/>
    <mergeCell ref="A31:K31"/>
    <mergeCell ref="A38:H38"/>
    <mergeCell ref="I38:K38"/>
    <mergeCell ref="A40:G41"/>
    <mergeCell ref="H40:I41"/>
    <mergeCell ref="J40:J41"/>
    <mergeCell ref="A19:B19"/>
    <mergeCell ref="D19:F19"/>
    <mergeCell ref="A21:K21"/>
    <mergeCell ref="A23:I24"/>
    <mergeCell ref="J23:J24"/>
    <mergeCell ref="K23:K24"/>
    <mergeCell ref="A8:L8"/>
    <mergeCell ref="A9:D9"/>
    <mergeCell ref="A12:L13"/>
    <mergeCell ref="E15:J15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</mergeCells>
  <dataValidations count="2">
    <dataValidation allowBlank="1" showInputMessage="1" showErrorMessage="1" prompt="Clique duas vezes sobre o número do item para ser direcionado à Planilha Orçamentária." sqref="D15" xr:uid="{00000000-0002-0000-0A00-000000000000}">
      <formula1>0</formula1>
      <formula2>0</formula2>
    </dataValidation>
    <dataValidation type="list" allowBlank="1" showInputMessage="1" showErrorMessage="1" prompt="Selecione o fator de redução, conforme recomendação das observações" sqref="L56" xr:uid="{00000000-0002-0000-0A00-000001000000}">
      <formula1>#REF!</formula1>
      <formula2>0</formula2>
    </dataValidation>
  </dataValidations>
  <printOptions horizontalCentered="1" verticalCentered="1"/>
  <pageMargins left="0.25" right="0.25" top="0.75" bottom="0.75" header="0.3" footer="0.3"/>
  <pageSetup paperSize="9" scale="86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7"/>
  <sheetViews>
    <sheetView view="pageBreakPreview" zoomScale="80" zoomScaleNormal="80" zoomScaleSheetLayoutView="80" workbookViewId="0">
      <selection activeCell="A19" sqref="A17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9" width="8.21875" style="845" customWidth="1"/>
    <col min="10" max="10" width="8.77734375" style="845" customWidth="1"/>
    <col min="11" max="11" width="10.21875" style="845" customWidth="1"/>
    <col min="12" max="12" width="11.44140625" style="845" customWidth="1"/>
    <col min="13" max="256" width="11.44140625" customWidth="1"/>
  </cols>
  <sheetData>
    <row r="1" spans="1:12" ht="15.6" x14ac:dyDescent="0.3">
      <c r="A1" s="1617" t="str">
        <f>'[1]Planilha orçamentária'!E4</f>
        <v>PROJETO BÁSICO DE ENGENHARIA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</row>
    <row r="2" spans="1:12" ht="8.25" customHeight="1" x14ac:dyDescent="0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</row>
    <row r="3" spans="1:12" ht="13.8" x14ac:dyDescent="0.25">
      <c r="A3" s="1826" t="str">
        <f>'1.3'!A3:K3</f>
        <v>J J BORGES DE OLIVEIRA EIRELI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846" t="s">
        <v>411</v>
      </c>
    </row>
    <row r="4" spans="1:12" x14ac:dyDescent="0.25">
      <c r="A4" s="1825" t="str">
        <f>'1.3'!A4:K4</f>
        <v>20.129.307/0001-02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847"/>
    </row>
    <row r="5" spans="1:12" ht="14.7" customHeight="1" x14ac:dyDescent="0.25">
      <c r="A5" s="1619"/>
      <c r="B5" s="1619"/>
      <c r="C5" s="1619"/>
      <c r="D5" s="1619"/>
      <c r="E5" s="1619"/>
      <c r="F5" s="1619"/>
      <c r="G5" s="1619"/>
      <c r="H5" s="1619"/>
      <c r="I5" s="1619"/>
      <c r="J5" s="1619"/>
      <c r="K5" s="1619"/>
      <c r="L5" s="1642" t="s">
        <v>539</v>
      </c>
    </row>
    <row r="6" spans="1:12" ht="3" customHeight="1" x14ac:dyDescent="0.25">
      <c r="A6" s="848"/>
      <c r="B6" s="849"/>
      <c r="C6" s="850"/>
      <c r="D6" s="851"/>
      <c r="E6" s="852"/>
      <c r="F6" s="850"/>
      <c r="G6" s="850"/>
      <c r="H6" s="850"/>
      <c r="I6" s="850"/>
      <c r="J6" s="850"/>
      <c r="K6" s="853"/>
      <c r="L6" s="1642"/>
    </row>
    <row r="7" spans="1:12" x14ac:dyDescent="0.25">
      <c r="A7" s="855"/>
      <c r="B7" s="855"/>
      <c r="C7" s="856"/>
      <c r="D7" s="857"/>
      <c r="E7" s="857"/>
      <c r="F7" s="858"/>
      <c r="G7" s="858"/>
      <c r="H7" s="858"/>
      <c r="I7" s="858"/>
      <c r="J7" s="858"/>
      <c r="K7" s="858"/>
      <c r="L7" s="859"/>
    </row>
    <row r="8" spans="1:12" x14ac:dyDescent="0.25">
      <c r="A8" s="1620"/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</row>
    <row r="9" spans="1:12" ht="12.75" customHeight="1" x14ac:dyDescent="0.25">
      <c r="A9" s="1616" t="s">
        <v>413</v>
      </c>
      <c r="B9" s="1616"/>
      <c r="C9" s="1616"/>
      <c r="D9" s="1616"/>
      <c r="E9" s="860" t="str">
        <f>'[1]Planilha orçamentária'!E9</f>
        <v>Construção / Recuperação e complementação de estradas vicinais</v>
      </c>
      <c r="F9" s="861"/>
      <c r="G9" s="861"/>
      <c r="H9" s="861"/>
      <c r="I9" s="861"/>
      <c r="J9" s="861"/>
      <c r="K9" s="861"/>
      <c r="L9" s="862"/>
    </row>
    <row r="10" spans="1:12" x14ac:dyDescent="0.25">
      <c r="A10" s="863"/>
      <c r="B10" s="851"/>
      <c r="C10" s="864"/>
      <c r="D10" s="851"/>
      <c r="E10" s="851"/>
      <c r="F10" s="850"/>
      <c r="G10" s="850"/>
      <c r="H10" s="850"/>
      <c r="I10" s="850"/>
      <c r="J10" s="850"/>
      <c r="K10" s="850"/>
      <c r="L10" s="865"/>
    </row>
    <row r="11" spans="1:12" x14ac:dyDescent="0.25">
      <c r="A11" s="858"/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9"/>
    </row>
    <row r="12" spans="1:12" x14ac:dyDescent="0.25">
      <c r="A12" s="1621" t="s">
        <v>414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</row>
    <row r="13" spans="1:12" x14ac:dyDescent="0.25">
      <c r="A13" s="1621"/>
      <c r="B13" s="1621"/>
      <c r="C13" s="1621"/>
      <c r="D13" s="1621"/>
      <c r="E13" s="1621"/>
      <c r="F13" s="1621"/>
      <c r="G13" s="1621"/>
      <c r="H13" s="1621"/>
      <c r="I13" s="1621"/>
      <c r="J13" s="1621"/>
      <c r="K13" s="1621"/>
      <c r="L13" s="1621"/>
    </row>
    <row r="14" spans="1:12" ht="9.4499999999999993" customHeight="1" x14ac:dyDescent="0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</row>
    <row r="15" spans="1:12" x14ac:dyDescent="0.25">
      <c r="A15" s="867" t="s">
        <v>415</v>
      </c>
      <c r="B15" s="868"/>
      <c r="C15" s="868"/>
      <c r="D15" s="869" t="str">
        <f>'[1]Planilha orçamentária'!B40</f>
        <v>3.1</v>
      </c>
      <c r="E15" s="1643" t="s">
        <v>540</v>
      </c>
      <c r="F15" s="1643"/>
      <c r="G15" s="1643"/>
      <c r="H15" s="1643"/>
      <c r="I15" s="1643"/>
      <c r="J15" s="1643"/>
      <c r="K15" s="871" t="s">
        <v>417</v>
      </c>
      <c r="L15" s="870" t="s">
        <v>470</v>
      </c>
    </row>
    <row r="16" spans="1:12" x14ac:dyDescent="0.25">
      <c r="A16" s="855"/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</row>
    <row r="17" spans="1:15" x14ac:dyDescent="0.25">
      <c r="A17" s="1644" t="s">
        <v>426</v>
      </c>
      <c r="B17" s="1644"/>
      <c r="C17" s="1644"/>
      <c r="D17" s="1644"/>
      <c r="E17" s="1644"/>
      <c r="F17" s="1644"/>
      <c r="G17" s="1630" t="s">
        <v>164</v>
      </c>
      <c r="H17" s="1630" t="s">
        <v>284</v>
      </c>
      <c r="I17" s="1630"/>
      <c r="J17" s="1645" t="s">
        <v>471</v>
      </c>
      <c r="K17" s="1645"/>
      <c r="L17" s="1018" t="s">
        <v>472</v>
      </c>
    </row>
    <row r="18" spans="1:15" x14ac:dyDescent="0.25">
      <c r="A18" s="1644"/>
      <c r="B18" s="1644"/>
      <c r="C18" s="1644"/>
      <c r="D18" s="1644"/>
      <c r="E18" s="1644"/>
      <c r="F18" s="1644"/>
      <c r="G18" s="1630"/>
      <c r="H18" s="886" t="s">
        <v>473</v>
      </c>
      <c r="I18" s="1019" t="s">
        <v>474</v>
      </c>
      <c r="J18" s="886" t="s">
        <v>473</v>
      </c>
      <c r="K18" s="1019" t="s">
        <v>474</v>
      </c>
      <c r="L18" s="1020" t="s">
        <v>475</v>
      </c>
    </row>
    <row r="19" spans="1:15" ht="15.75" customHeight="1" x14ac:dyDescent="0.25">
      <c r="A19" s="1021"/>
      <c r="B19" s="1022"/>
      <c r="C19" s="991"/>
      <c r="D19" s="990"/>
      <c r="E19" s="875"/>
      <c r="F19" s="877"/>
      <c r="G19" s="1128"/>
      <c r="H19" s="1024"/>
      <c r="I19" s="904"/>
      <c r="J19" s="929"/>
      <c r="K19" s="929"/>
      <c r="L19" s="929">
        <f t="shared" ref="L19:L20" si="0">ROUND((G19*H19*J19)+(G19*I19*K19),4)</f>
        <v>0</v>
      </c>
    </row>
    <row r="20" spans="1:15" x14ac:dyDescent="0.25">
      <c r="A20" s="1028"/>
      <c r="B20" s="1029"/>
      <c r="C20" s="1019"/>
      <c r="D20" s="1029"/>
      <c r="E20" s="1029"/>
      <c r="F20" s="1030"/>
      <c r="G20" s="1129"/>
      <c r="H20" s="1024"/>
      <c r="I20" s="904"/>
      <c r="J20" s="1075"/>
      <c r="K20" s="906"/>
      <c r="L20" s="929">
        <f t="shared" si="0"/>
        <v>0</v>
      </c>
    </row>
    <row r="21" spans="1:15" x14ac:dyDescent="0.25">
      <c r="A21" s="1646" t="s">
        <v>476</v>
      </c>
      <c r="B21" s="1646"/>
      <c r="C21" s="1646"/>
      <c r="D21" s="1646"/>
      <c r="E21" s="1646"/>
      <c r="F21" s="1646"/>
      <c r="G21" s="1646"/>
      <c r="H21" s="1646"/>
      <c r="I21" s="1646"/>
      <c r="J21" s="1646"/>
      <c r="K21" s="1646"/>
      <c r="L21" s="1033">
        <f>ROUND(SUM(L19:L20),4)</f>
        <v>0</v>
      </c>
    </row>
    <row r="22" spans="1:15" x14ac:dyDescent="0.25">
      <c r="A22" s="873"/>
      <c r="B22" s="873"/>
      <c r="C22" s="873"/>
      <c r="D22" s="873"/>
      <c r="E22" s="873"/>
      <c r="F22" s="873"/>
      <c r="G22" s="873"/>
      <c r="H22" s="966"/>
      <c r="I22" s="966"/>
      <c r="J22" s="966"/>
      <c r="K22" s="966"/>
      <c r="L22" s="966"/>
    </row>
    <row r="23" spans="1:15" ht="14.7" customHeight="1" x14ac:dyDescent="0.25">
      <c r="A23" s="1629" t="s">
        <v>439</v>
      </c>
      <c r="B23" s="1629"/>
      <c r="C23" s="1629"/>
      <c r="D23" s="1629"/>
      <c r="E23" s="1629"/>
      <c r="F23" s="1629"/>
      <c r="G23" s="1629"/>
      <c r="H23" s="1629"/>
      <c r="I23" s="1629"/>
      <c r="J23" s="1630" t="s">
        <v>164</v>
      </c>
      <c r="K23" s="1631" t="s">
        <v>541</v>
      </c>
      <c r="L23" s="1018" t="s">
        <v>441</v>
      </c>
    </row>
    <row r="24" spans="1:15" x14ac:dyDescent="0.25">
      <c r="A24" s="1629"/>
      <c r="B24" s="1629"/>
      <c r="C24" s="1629"/>
      <c r="D24" s="1629"/>
      <c r="E24" s="1629"/>
      <c r="F24" s="1629"/>
      <c r="G24" s="1629"/>
      <c r="H24" s="1629"/>
      <c r="I24" s="1629"/>
      <c r="J24" s="1630"/>
      <c r="K24" s="1631"/>
      <c r="L24" s="1020" t="s">
        <v>475</v>
      </c>
      <c r="N24">
        <v>0.4</v>
      </c>
    </row>
    <row r="25" spans="1:15" x14ac:dyDescent="0.25">
      <c r="A25" s="1021" t="str">
        <f>'[1]Atualização de custos unitarios'!A106</f>
        <v>DNIT –</v>
      </c>
      <c r="B25" s="889" t="str">
        <f>'[1]Atualização de custos unitarios'!B106</f>
        <v>NS - P2</v>
      </c>
      <c r="C25" s="991" t="s">
        <v>434</v>
      </c>
      <c r="D25" s="990" t="str">
        <f>'[1]Atualização de custos unitarios'!C106</f>
        <v>Engenheiro / Profissional Pleno</v>
      </c>
      <c r="E25" s="990"/>
      <c r="F25" s="990"/>
      <c r="G25" s="875"/>
      <c r="H25" s="991"/>
      <c r="I25" s="1130"/>
      <c r="J25" s="1131">
        <v>0.2</v>
      </c>
      <c r="K25" s="1077">
        <f>'2.1'!K25</f>
        <v>10830.92</v>
      </c>
      <c r="L25" s="897">
        <f t="shared" ref="L25:L29" si="1">ROUND(J25*K25,4)</f>
        <v>2166.1840000000002</v>
      </c>
      <c r="N25">
        <v>10831.32</v>
      </c>
      <c r="O25">
        <f>N25-$N$24</f>
        <v>10830.92</v>
      </c>
    </row>
    <row r="26" spans="1:15" x14ac:dyDescent="0.25">
      <c r="A26" s="984" t="str">
        <f>'[1]Atualização de custos unitarios'!A94</f>
        <v>DNIT –</v>
      </c>
      <c r="B26" s="901" t="str">
        <f>'[1]Atualização de custos unitarios'!B94</f>
        <v>P9875</v>
      </c>
      <c r="C26" s="922" t="s">
        <v>434</v>
      </c>
      <c r="D26" s="885" t="str">
        <f>'[1]Atualização de custos unitarios'!C94</f>
        <v>Encarregado de turma</v>
      </c>
      <c r="E26" s="885"/>
      <c r="F26" s="885"/>
      <c r="G26" s="855"/>
      <c r="H26" s="922"/>
      <c r="I26" s="1035"/>
      <c r="J26" s="1132">
        <v>1</v>
      </c>
      <c r="K26" s="985">
        <v>4547.134</v>
      </c>
      <c r="L26" s="907">
        <f t="shared" si="1"/>
        <v>4547.134</v>
      </c>
      <c r="N26">
        <v>4547.5339999999997</v>
      </c>
      <c r="O26">
        <f t="shared" ref="O26:O28" si="2">N26-$N$24</f>
        <v>4547.134</v>
      </c>
    </row>
    <row r="27" spans="1:15" x14ac:dyDescent="0.25">
      <c r="A27" s="984" t="str">
        <f>'[1]Atualização de custos unitarios'!A76</f>
        <v>DNIT –</v>
      </c>
      <c r="B27" s="901" t="str">
        <f>'[1]Atualização de custos unitarios'!B76</f>
        <v>P9804</v>
      </c>
      <c r="C27" s="922" t="s">
        <v>434</v>
      </c>
      <c r="D27" s="885" t="str">
        <f>'[1]Atualização de custos unitarios'!C76</f>
        <v>Apontador</v>
      </c>
      <c r="E27" s="1076"/>
      <c r="F27" s="1076"/>
      <c r="G27" s="1133"/>
      <c r="H27" s="904"/>
      <c r="I27" s="1134"/>
      <c r="J27" s="1132">
        <v>1</v>
      </c>
      <c r="K27" s="985">
        <v>3557.0821999999998</v>
      </c>
      <c r="L27" s="907">
        <f t="shared" si="1"/>
        <v>3557.0821999999998</v>
      </c>
      <c r="N27">
        <v>3557.4821999999999</v>
      </c>
      <c r="O27">
        <f t="shared" si="2"/>
        <v>3557.0821999999998</v>
      </c>
    </row>
    <row r="28" spans="1:15" ht="9.4499999999999993" customHeight="1" x14ac:dyDescent="0.25">
      <c r="A28" s="984" t="str">
        <f>'[1]Atualização de custos unitarios'!A78</f>
        <v>DNIT –</v>
      </c>
      <c r="B28" s="901" t="str">
        <f>'[1]Atualização de custos unitarios'!B78</f>
        <v>P9806</v>
      </c>
      <c r="C28" s="922" t="s">
        <v>434</v>
      </c>
      <c r="D28" s="885" t="str">
        <f>CONCATENATE('[1]Atualização de custos unitarios'!C78," - (Almoxarife)")</f>
        <v>Auxiliar administrativo - (Almoxarife)</v>
      </c>
      <c r="E28" s="1076"/>
      <c r="F28" s="885"/>
      <c r="G28" s="1133"/>
      <c r="H28" s="904"/>
      <c r="I28" s="1134"/>
      <c r="J28" s="1135">
        <v>1</v>
      </c>
      <c r="K28" s="985">
        <v>3679.8108999999999</v>
      </c>
      <c r="L28" s="907">
        <f t="shared" si="1"/>
        <v>3679.8108999999999</v>
      </c>
      <c r="N28">
        <v>3680.2109</v>
      </c>
      <c r="O28">
        <f t="shared" si="2"/>
        <v>3679.8108999999999</v>
      </c>
    </row>
    <row r="29" spans="1:15" x14ac:dyDescent="0.25">
      <c r="A29" s="1136"/>
      <c r="B29" s="1137"/>
      <c r="C29" s="1138"/>
      <c r="D29" s="1138"/>
      <c r="E29" s="1138"/>
      <c r="F29" s="1138"/>
      <c r="G29" s="1139"/>
      <c r="H29" s="1140"/>
      <c r="I29" s="1141"/>
      <c r="J29" s="1142"/>
      <c r="K29" s="983"/>
      <c r="L29" s="907">
        <f t="shared" si="1"/>
        <v>0</v>
      </c>
    </row>
    <row r="30" spans="1:15" x14ac:dyDescent="0.25">
      <c r="A30" s="1646" t="s">
        <v>478</v>
      </c>
      <c r="B30" s="1646"/>
      <c r="C30" s="1646"/>
      <c r="D30" s="1646"/>
      <c r="E30" s="1646"/>
      <c r="F30" s="1646"/>
      <c r="G30" s="1646"/>
      <c r="H30" s="1646"/>
      <c r="I30" s="1646"/>
      <c r="J30" s="1646"/>
      <c r="K30" s="1646"/>
      <c r="L30" s="1033">
        <f>ROUND(SUM(L25:L29),4)</f>
        <v>13950.2111</v>
      </c>
    </row>
    <row r="31" spans="1:15" x14ac:dyDescent="0.25">
      <c r="A31" s="873"/>
      <c r="B31" s="873"/>
      <c r="C31" s="873"/>
      <c r="D31" s="873"/>
      <c r="E31" s="873"/>
      <c r="F31" s="873"/>
      <c r="G31" s="873"/>
      <c r="H31" s="873"/>
      <c r="I31" s="873"/>
      <c r="J31" s="966"/>
      <c r="K31" s="966"/>
      <c r="L31" s="1040"/>
    </row>
    <row r="32" spans="1:15" x14ac:dyDescent="0.25">
      <c r="A32" s="873"/>
      <c r="B32" s="873"/>
      <c r="C32" s="873"/>
      <c r="D32" s="873"/>
      <c r="E32" s="873"/>
      <c r="F32" s="873"/>
      <c r="G32" s="873"/>
      <c r="H32" s="873"/>
      <c r="I32" s="873"/>
      <c r="J32" s="966"/>
      <c r="K32" s="1041" t="s">
        <v>479</v>
      </c>
      <c r="L32" s="1042">
        <f>L21+L30</f>
        <v>13950.2111</v>
      </c>
    </row>
    <row r="33" spans="1:15" x14ac:dyDescent="0.25">
      <c r="A33" s="1043" t="s">
        <v>480</v>
      </c>
      <c r="B33" s="873"/>
      <c r="C33" s="873"/>
      <c r="D33" s="873"/>
      <c r="E33" s="873"/>
      <c r="F33" s="1044">
        <v>1</v>
      </c>
      <c r="G33" s="1045" t="str">
        <f>L15</f>
        <v>mês</v>
      </c>
      <c r="H33" s="1043"/>
      <c r="I33" s="873"/>
      <c r="J33" s="1046"/>
      <c r="K33" s="1047" t="s">
        <v>481</v>
      </c>
      <c r="L33" s="976">
        <f>ROUND(L32/F33,4)</f>
        <v>13950.2111</v>
      </c>
    </row>
    <row r="34" spans="1:15" x14ac:dyDescent="0.25">
      <c r="A34" s="1043"/>
      <c r="B34" s="873" t="s">
        <v>482</v>
      </c>
      <c r="C34" s="873"/>
      <c r="D34" s="873"/>
      <c r="E34" s="873"/>
      <c r="F34" s="1044"/>
      <c r="G34" s="1045"/>
      <c r="H34" s="1043"/>
      <c r="I34" s="873"/>
      <c r="J34" s="1046"/>
      <c r="K34" s="1041" t="s">
        <v>483</v>
      </c>
      <c r="L34" s="976">
        <f>ROUND(L33*F34,4)</f>
        <v>0</v>
      </c>
    </row>
    <row r="35" spans="1:15" x14ac:dyDescent="0.25">
      <c r="A35" s="1043"/>
      <c r="B35" s="873" t="s">
        <v>484</v>
      </c>
      <c r="C35" s="873"/>
      <c r="D35" s="873"/>
      <c r="E35" s="873"/>
      <c r="F35" s="1044"/>
      <c r="G35" s="1045"/>
      <c r="H35" s="1046"/>
      <c r="I35" s="1048"/>
      <c r="J35" s="966"/>
      <c r="K35" s="1041" t="s">
        <v>485</v>
      </c>
      <c r="L35" s="976">
        <f>ROUND(L33*F35,4)</f>
        <v>0</v>
      </c>
    </row>
    <row r="36" spans="1:15" x14ac:dyDescent="0.25">
      <c r="A36" s="873"/>
      <c r="B36" s="873"/>
      <c r="C36" s="873"/>
      <c r="D36" s="873"/>
      <c r="E36" s="873"/>
      <c r="F36" s="873"/>
      <c r="G36" s="873"/>
      <c r="H36" s="873"/>
      <c r="I36" s="873"/>
      <c r="J36" s="966"/>
      <c r="K36" s="966"/>
      <c r="L36" s="1040"/>
    </row>
    <row r="37" spans="1:15" x14ac:dyDescent="0.25">
      <c r="A37" s="1629" t="s">
        <v>486</v>
      </c>
      <c r="B37" s="1629"/>
      <c r="C37" s="1629"/>
      <c r="D37" s="1629"/>
      <c r="E37" s="1629"/>
      <c r="F37" s="1629"/>
      <c r="G37" s="1629"/>
      <c r="H37" s="1629"/>
      <c r="I37" s="1639" t="s">
        <v>487</v>
      </c>
      <c r="J37" s="1639"/>
      <c r="K37" s="1639"/>
      <c r="L37" s="1049">
        <f>ROUND(SUM(L33:L36),4)</f>
        <v>13950.2111</v>
      </c>
    </row>
    <row r="38" spans="1:15" x14ac:dyDescent="0.25">
      <c r="A38" s="855"/>
      <c r="B38" s="855"/>
      <c r="C38" s="855"/>
      <c r="D38" s="855"/>
      <c r="E38" s="855"/>
      <c r="F38" s="855"/>
      <c r="G38" s="1050"/>
      <c r="H38" s="1050"/>
      <c r="I38" s="876"/>
      <c r="J38" s="876"/>
      <c r="K38" s="876"/>
      <c r="L38" s="855"/>
    </row>
    <row r="39" spans="1:15" x14ac:dyDescent="0.25">
      <c r="A39" s="1629" t="s">
        <v>488</v>
      </c>
      <c r="B39" s="1629"/>
      <c r="C39" s="1629"/>
      <c r="D39" s="1629"/>
      <c r="E39" s="1629"/>
      <c r="F39" s="1629"/>
      <c r="G39" s="1629"/>
      <c r="H39" s="1630" t="s">
        <v>164</v>
      </c>
      <c r="I39" s="1630"/>
      <c r="J39" s="1630" t="s">
        <v>163</v>
      </c>
      <c r="K39" s="1018" t="s">
        <v>489</v>
      </c>
      <c r="L39" s="1018" t="s">
        <v>472</v>
      </c>
    </row>
    <row r="40" spans="1:15" x14ac:dyDescent="0.25">
      <c r="A40" s="1629"/>
      <c r="B40" s="1629"/>
      <c r="C40" s="1629"/>
      <c r="D40" s="1629"/>
      <c r="E40" s="1629"/>
      <c r="F40" s="1629"/>
      <c r="G40" s="1629"/>
      <c r="H40" s="1630"/>
      <c r="I40" s="1630"/>
      <c r="J40" s="1630"/>
      <c r="K40" s="1051" t="s">
        <v>490</v>
      </c>
      <c r="L40" s="1020" t="s">
        <v>490</v>
      </c>
    </row>
    <row r="41" spans="1:15" x14ac:dyDescent="0.25">
      <c r="A41" s="1021" t="str">
        <f>'[1]Atualização de custos unitarios'!A112</f>
        <v>DNIT –</v>
      </c>
      <c r="B41" s="889" t="str">
        <f>'[1]Atualização de custos unitarios'!B112</f>
        <v>Veículos</v>
      </c>
      <c r="C41" s="991" t="s">
        <v>434</v>
      </c>
      <c r="D41" s="1682" t="str">
        <f>'[1]Atualização de custos unitarios'!C112</f>
        <v>Sedan - 71 a 115 cv</v>
      </c>
      <c r="E41" s="1682"/>
      <c r="F41" s="1682"/>
      <c r="G41" s="1682"/>
      <c r="H41" s="1681"/>
      <c r="I41" s="1681"/>
      <c r="J41" s="1053" t="str">
        <f>'[1]Atualização de custos unitarios'!D112</f>
        <v>mês</v>
      </c>
      <c r="K41" s="985">
        <v>3212.67</v>
      </c>
      <c r="L41" s="929">
        <f t="shared" ref="L41:L44" si="3">ROUND(K41*H41,4)</f>
        <v>0</v>
      </c>
      <c r="N41">
        <v>3213.07</v>
      </c>
      <c r="O41">
        <f>N41-$N$24</f>
        <v>3212.67</v>
      </c>
    </row>
    <row r="42" spans="1:15" x14ac:dyDescent="0.25">
      <c r="A42" s="984" t="str">
        <f>'[1]Atualização de custos unitarios'!A113</f>
        <v>DNIT –</v>
      </c>
      <c r="B42" s="901" t="str">
        <f>'[1]Atualização de custos unitarios'!B113</f>
        <v>Veículos</v>
      </c>
      <c r="C42" s="922" t="s">
        <v>434</v>
      </c>
      <c r="D42" s="1650" t="str">
        <f>'[1]Atualização de custos unitarios'!C113</f>
        <v>Caminhonete -  71 a 115 CV</v>
      </c>
      <c r="E42" s="1650"/>
      <c r="F42" s="1650"/>
      <c r="G42" s="1650"/>
      <c r="H42" s="1681">
        <v>1</v>
      </c>
      <c r="I42" s="1681"/>
      <c r="J42" s="1053" t="str">
        <f>'[1]Atualização de custos unitarios'!D113</f>
        <v>mês</v>
      </c>
      <c r="K42" s="985">
        <v>3399.41</v>
      </c>
      <c r="L42" s="929">
        <f t="shared" si="3"/>
        <v>3399.41</v>
      </c>
      <c r="N42">
        <v>3399.81</v>
      </c>
      <c r="O42">
        <f t="shared" ref="O42:O43" si="4">N42-$N$24</f>
        <v>3399.41</v>
      </c>
    </row>
    <row r="43" spans="1:15" x14ac:dyDescent="0.25">
      <c r="A43" s="984" t="str">
        <f>'[1]Atualização de custos unitarios'!A114</f>
        <v>DNIT –</v>
      </c>
      <c r="B43" s="901" t="str">
        <f>'[1]Atualização de custos unitarios'!B114</f>
        <v>Veículos</v>
      </c>
      <c r="C43" s="922" t="s">
        <v>434</v>
      </c>
      <c r="D43" s="1650" t="str">
        <f>'[1]Atualização de custos unitarios'!C114</f>
        <v>Caminhonete -  140 a 165 cv</v>
      </c>
      <c r="E43" s="1650"/>
      <c r="F43" s="1650"/>
      <c r="G43" s="1650"/>
      <c r="H43" s="1681"/>
      <c r="I43" s="1681"/>
      <c r="J43" s="1053" t="str">
        <f>'[1]Atualização de custos unitarios'!D114</f>
        <v>mês</v>
      </c>
      <c r="K43" s="985">
        <v>4803.1400000000003</v>
      </c>
      <c r="L43" s="929">
        <f>ROUND(K43*H43,4)</f>
        <v>0</v>
      </c>
      <c r="N43">
        <v>4803.54</v>
      </c>
      <c r="O43">
        <f t="shared" si="4"/>
        <v>4803.1400000000003</v>
      </c>
    </row>
    <row r="44" spans="1:15" x14ac:dyDescent="0.25">
      <c r="A44" s="1143"/>
      <c r="B44" s="1144"/>
      <c r="C44" s="935"/>
      <c r="D44" s="1138"/>
      <c r="E44" s="1138"/>
      <c r="F44" s="1138"/>
      <c r="G44" s="1145"/>
      <c r="H44" s="1681"/>
      <c r="I44" s="1681"/>
      <c r="J44" s="1146"/>
      <c r="K44" s="983"/>
      <c r="L44" s="929">
        <f t="shared" si="3"/>
        <v>0</v>
      </c>
    </row>
    <row r="45" spans="1:15" ht="9.4499999999999993" customHeight="1" x14ac:dyDescent="0.25">
      <c r="A45" s="1637" t="s">
        <v>491</v>
      </c>
      <c r="B45" s="1637"/>
      <c r="C45" s="1637"/>
      <c r="D45" s="1637"/>
      <c r="E45" s="1637"/>
      <c r="F45" s="1637"/>
      <c r="G45" s="1637"/>
      <c r="H45" s="1637"/>
      <c r="I45" s="1637"/>
      <c r="J45" s="1637"/>
      <c r="K45" s="1637"/>
      <c r="L45" s="1049">
        <f>ROUND(SUM(L41:L44),4)</f>
        <v>3399.41</v>
      </c>
    </row>
    <row r="46" spans="1:15" x14ac:dyDescent="0.25">
      <c r="A46" s="875"/>
      <c r="B46" s="875"/>
      <c r="C46" s="875"/>
      <c r="D46" s="875"/>
      <c r="E46" s="875"/>
      <c r="F46" s="875"/>
      <c r="G46" s="875"/>
      <c r="H46" s="875"/>
      <c r="I46" s="875"/>
      <c r="J46" s="855"/>
      <c r="K46" s="1057"/>
      <c r="L46" s="1058"/>
    </row>
    <row r="47" spans="1:15" ht="14.7" customHeight="1" x14ac:dyDescent="0.25">
      <c r="A47" s="1629" t="s">
        <v>492</v>
      </c>
      <c r="B47" s="1629"/>
      <c r="C47" s="1629"/>
      <c r="D47" s="1629"/>
      <c r="E47" s="1629"/>
      <c r="F47" s="1629"/>
      <c r="G47" s="1631" t="s">
        <v>493</v>
      </c>
      <c r="H47" s="1630" t="s">
        <v>494</v>
      </c>
      <c r="I47" s="1630"/>
      <c r="J47" s="1630"/>
      <c r="K47" s="1630"/>
      <c r="L47" s="1630" t="s">
        <v>495</v>
      </c>
    </row>
    <row r="48" spans="1:15" x14ac:dyDescent="0.25">
      <c r="A48" s="1629"/>
      <c r="B48" s="1629"/>
      <c r="C48" s="1629"/>
      <c r="D48" s="1629"/>
      <c r="E48" s="1629"/>
      <c r="F48" s="1629"/>
      <c r="G48" s="1631"/>
      <c r="H48" s="887" t="s">
        <v>110</v>
      </c>
      <c r="I48" s="1039" t="s">
        <v>302</v>
      </c>
      <c r="J48" s="1020" t="s">
        <v>305</v>
      </c>
      <c r="K48" s="1051" t="s">
        <v>307</v>
      </c>
      <c r="L48" s="1630"/>
    </row>
    <row r="49" spans="1:12" x14ac:dyDescent="0.25">
      <c r="A49" s="1629"/>
      <c r="B49" s="1629"/>
      <c r="C49" s="1629"/>
      <c r="D49" s="1629"/>
      <c r="E49" s="1629"/>
      <c r="F49" s="1629"/>
      <c r="G49" s="1631"/>
      <c r="H49" s="886" t="s">
        <v>496</v>
      </c>
      <c r="I49" s="1059"/>
      <c r="J49" s="1059"/>
      <c r="K49" s="1059"/>
      <c r="L49" s="1630"/>
    </row>
    <row r="50" spans="1:12" x14ac:dyDescent="0.25">
      <c r="A50" s="1652"/>
      <c r="B50" s="1653"/>
      <c r="C50" s="1654"/>
      <c r="D50" s="1655"/>
      <c r="E50" s="1655"/>
      <c r="F50" s="1656"/>
      <c r="G50" s="1684"/>
      <c r="H50" s="1060" t="s">
        <v>497</v>
      </c>
      <c r="I50" s="1061"/>
      <c r="J50" s="1061"/>
      <c r="K50" s="1061"/>
      <c r="L50" s="1651">
        <f>ROUND(G50*($I$49*I51+$J$49*J51+$K$49*K51),4)</f>
        <v>0</v>
      </c>
    </row>
    <row r="51" spans="1:12" x14ac:dyDescent="0.25">
      <c r="A51" s="1652"/>
      <c r="B51" s="1653"/>
      <c r="C51" s="1654"/>
      <c r="D51" s="1655"/>
      <c r="E51" s="1655"/>
      <c r="F51" s="1656"/>
      <c r="G51" s="1684"/>
      <c r="H51" s="1062" t="s">
        <v>498</v>
      </c>
      <c r="I51" s="1063"/>
      <c r="J51" s="1063"/>
      <c r="K51" s="1063"/>
      <c r="L51" s="1651"/>
    </row>
    <row r="52" spans="1:12" x14ac:dyDescent="0.25">
      <c r="A52" s="984"/>
      <c r="B52" s="901"/>
      <c r="C52" s="922"/>
      <c r="D52" s="1093"/>
      <c r="E52" s="1093"/>
      <c r="F52" s="1072"/>
      <c r="G52" s="1147"/>
      <c r="H52" s="1148"/>
      <c r="I52" s="1149"/>
      <c r="J52" s="1148"/>
      <c r="K52" s="1149"/>
      <c r="L52" s="929"/>
    </row>
    <row r="53" spans="1:12" x14ac:dyDescent="0.25">
      <c r="A53" s="1055"/>
      <c r="B53" s="922"/>
      <c r="C53" s="922"/>
      <c r="D53" s="1029"/>
      <c r="E53" s="1029"/>
      <c r="F53" s="1029"/>
      <c r="G53" s="1150"/>
      <c r="H53" s="1065"/>
      <c r="I53" s="1065"/>
      <c r="J53" s="1065"/>
      <c r="K53" s="1065"/>
      <c r="L53" s="1067">
        <f>G53*H53*K53</f>
        <v>0</v>
      </c>
    </row>
    <row r="54" spans="1:12" x14ac:dyDescent="0.25">
      <c r="A54" s="1637" t="s">
        <v>499</v>
      </c>
      <c r="B54" s="1637"/>
      <c r="C54" s="1637"/>
      <c r="D54" s="1637"/>
      <c r="E54" s="1637"/>
      <c r="F54" s="1637"/>
      <c r="G54" s="1637"/>
      <c r="H54" s="1637"/>
      <c r="I54" s="1637"/>
      <c r="J54" s="1637"/>
      <c r="K54" s="1637"/>
      <c r="L54" s="968">
        <f>ROUND(SUM(L50:L53),4)</f>
        <v>0</v>
      </c>
    </row>
    <row r="55" spans="1:12" x14ac:dyDescent="0.25">
      <c r="A55" s="990"/>
      <c r="B55" s="990"/>
      <c r="C55" s="990"/>
      <c r="D55" s="990"/>
      <c r="E55" s="990"/>
      <c r="F55" s="990"/>
      <c r="G55" s="875"/>
      <c r="H55" s="991"/>
      <c r="I55" s="991"/>
      <c r="J55" s="992"/>
      <c r="K55" s="993"/>
      <c r="L55" s="1068"/>
    </row>
    <row r="56" spans="1:12" x14ac:dyDescent="0.25">
      <c r="A56" s="1637" t="s">
        <v>500</v>
      </c>
      <c r="B56" s="1637"/>
      <c r="C56" s="1637"/>
      <c r="D56" s="1637"/>
      <c r="E56" s="1637"/>
      <c r="F56" s="1637"/>
      <c r="G56" s="1637"/>
      <c r="H56" s="1637"/>
      <c r="I56" s="1637"/>
      <c r="J56" s="1637"/>
      <c r="K56" s="1637"/>
      <c r="L56" s="968">
        <f>ROUND(L37+L45+L54,4)</f>
        <v>17349.6211</v>
      </c>
    </row>
    <row r="57" spans="1:12" x14ac:dyDescent="0.25">
      <c r="A57" s="1638" t="s">
        <v>449</v>
      </c>
      <c r="B57" s="1638"/>
      <c r="C57" s="1638"/>
      <c r="D57" s="1638"/>
      <c r="E57" s="1638"/>
      <c r="F57" s="1638"/>
      <c r="G57" s="1638"/>
      <c r="H57" s="1638"/>
      <c r="I57" s="1638"/>
      <c r="J57" s="1638"/>
      <c r="K57" s="996">
        <f>[1]LDI!I34</f>
        <v>0.25569999999999998</v>
      </c>
      <c r="L57" s="997">
        <f>ROUND(L56*K57,4)</f>
        <v>4436.2981</v>
      </c>
    </row>
    <row r="58" spans="1:12" x14ac:dyDescent="0.25">
      <c r="A58" s="1639" t="s">
        <v>501</v>
      </c>
      <c r="B58" s="1639"/>
      <c r="C58" s="1639"/>
      <c r="D58" s="1639"/>
      <c r="E58" s="1639"/>
      <c r="F58" s="1639"/>
      <c r="G58" s="1639"/>
      <c r="H58" s="1639"/>
      <c r="I58" s="1639"/>
      <c r="J58" s="1639"/>
      <c r="K58" s="1639"/>
      <c r="L58" s="1151">
        <f>ROUND(L56+L57,2)</f>
        <v>21785.919999999998</v>
      </c>
    </row>
    <row r="59" spans="1:12" ht="21.75" customHeight="1" x14ac:dyDescent="0.25">
      <c r="A59" s="1639" t="s">
        <v>542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069">
        <f>ROUND(L58*G34,2)</f>
        <v>0</v>
      </c>
    </row>
    <row r="60" spans="1:12" ht="20.25" customHeight="1" x14ac:dyDescent="0.25">
      <c r="A60" s="873"/>
      <c r="B60" s="873"/>
      <c r="C60" s="873"/>
      <c r="D60" s="873"/>
      <c r="E60" s="873"/>
      <c r="F60" s="873"/>
      <c r="G60" s="873"/>
      <c r="H60" s="873"/>
      <c r="I60" s="873"/>
      <c r="J60" s="873"/>
      <c r="K60" s="873"/>
      <c r="L60" s="873"/>
    </row>
    <row r="61" spans="1:12" ht="20.7" customHeight="1" x14ac:dyDescent="0.25">
      <c r="A61" s="1000" t="s">
        <v>451</v>
      </c>
      <c r="B61" s="1001"/>
      <c r="C61" s="1125" t="s">
        <v>455</v>
      </c>
      <c r="D61" s="1683" t="s">
        <v>536</v>
      </c>
      <c r="E61" s="1683"/>
      <c r="F61" s="1683"/>
      <c r="G61" s="1683"/>
      <c r="H61" s="1683"/>
      <c r="I61" s="1683"/>
      <c r="J61" s="1683"/>
      <c r="K61" s="1683"/>
      <c r="L61" s="1683"/>
    </row>
    <row r="62" spans="1:12" x14ac:dyDescent="0.25">
      <c r="A62" s="1083"/>
      <c r="B62" s="1084"/>
      <c r="C62" s="1050" t="s">
        <v>457</v>
      </c>
      <c r="D62" s="855" t="s">
        <v>537</v>
      </c>
      <c r="E62" s="1152"/>
      <c r="F62" s="1152"/>
      <c r="G62" s="1152"/>
      <c r="H62" s="1152"/>
      <c r="I62" s="1152"/>
      <c r="J62" s="1152"/>
      <c r="K62" s="1152"/>
      <c r="L62" s="1085"/>
    </row>
    <row r="63" spans="1:12" x14ac:dyDescent="0.25">
      <c r="A63" s="1083"/>
      <c r="B63" s="1084"/>
      <c r="C63" s="1050" t="s">
        <v>395</v>
      </c>
      <c r="D63" s="855" t="s">
        <v>538</v>
      </c>
      <c r="E63" s="1152"/>
      <c r="F63" s="1152"/>
      <c r="G63" s="1152"/>
      <c r="H63" s="1152"/>
      <c r="I63" s="1152"/>
      <c r="J63" s="1152"/>
      <c r="K63" s="1152"/>
      <c r="L63" s="1085"/>
    </row>
    <row r="64" spans="1:12" x14ac:dyDescent="0.25">
      <c r="A64" s="1012"/>
      <c r="B64" s="1086"/>
      <c r="C64" s="1153"/>
      <c r="D64" s="1153"/>
      <c r="E64" s="1153"/>
      <c r="F64" s="1153"/>
      <c r="G64" s="1153"/>
      <c r="H64" s="1153"/>
      <c r="I64" s="1153"/>
      <c r="J64" s="1153"/>
      <c r="K64" s="1153"/>
      <c r="L64" s="1154"/>
    </row>
    <row r="67" ht="7.5" customHeight="1" x14ac:dyDescent="0.25"/>
  </sheetData>
  <sheetProtection selectLockedCells="1" selectUnlockedCells="1"/>
  <mergeCells count="49">
    <mergeCell ref="D61:L61"/>
    <mergeCell ref="L47:L49"/>
    <mergeCell ref="A50:A51"/>
    <mergeCell ref="B50:B51"/>
    <mergeCell ref="C50:C51"/>
    <mergeCell ref="D50:E51"/>
    <mergeCell ref="F50:F51"/>
    <mergeCell ref="G50:G51"/>
    <mergeCell ref="L50:L51"/>
    <mergeCell ref="A54:K54"/>
    <mergeCell ref="A56:K56"/>
    <mergeCell ref="A57:J57"/>
    <mergeCell ref="A58:K58"/>
    <mergeCell ref="A59:K59"/>
    <mergeCell ref="D43:G43"/>
    <mergeCell ref="H43:I43"/>
    <mergeCell ref="H44:I44"/>
    <mergeCell ref="A45:K45"/>
    <mergeCell ref="A47:F49"/>
    <mergeCell ref="G47:G49"/>
    <mergeCell ref="H47:K47"/>
    <mergeCell ref="D42:G42"/>
    <mergeCell ref="H42:I42"/>
    <mergeCell ref="A21:K21"/>
    <mergeCell ref="A23:I24"/>
    <mergeCell ref="J23:J24"/>
    <mergeCell ref="K23:K24"/>
    <mergeCell ref="A30:K30"/>
    <mergeCell ref="A37:H37"/>
    <mergeCell ref="I37:K37"/>
    <mergeCell ref="A39:G40"/>
    <mergeCell ref="H39:I40"/>
    <mergeCell ref="J39:J40"/>
    <mergeCell ref="D41:G41"/>
    <mergeCell ref="H41:I41"/>
    <mergeCell ref="A8:L8"/>
    <mergeCell ref="A9:D9"/>
    <mergeCell ref="A12:L13"/>
    <mergeCell ref="E15:J15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</mergeCells>
  <dataValidations disablePrompts="1" count="1">
    <dataValidation allowBlank="1" showInputMessage="1" showErrorMessage="1" prompt="Clique duas vezes sobre o número do item para ser direcionado à Planilha Orçamentária." sqref="D15" xr:uid="{00000000-0002-0000-0B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67"/>
  <sheetViews>
    <sheetView view="pageBreakPreview" topLeftCell="A40" zoomScale="80" zoomScaleNormal="80" zoomScaleSheetLayoutView="80" workbookViewId="0">
      <selection activeCell="A19" sqref="A18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11" width="8.77734375" style="845" customWidth="1"/>
    <col min="12" max="12" width="11.88671875" style="845" customWidth="1"/>
    <col min="13" max="256" width="11.44140625" customWidth="1"/>
  </cols>
  <sheetData>
    <row r="1" spans="1:12" x14ac:dyDescent="0.25">
      <c r="A1" s="1641"/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</row>
    <row r="2" spans="1:12" ht="13.2" customHeight="1" x14ac:dyDescent="0.3">
      <c r="A2" s="1617" t="str">
        <f>'[1]Planilha orçamentária'!E4</f>
        <v>PROJETO BÁSICO DE ENGENHARIA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</row>
    <row r="3" spans="1:12" ht="8.85" customHeight="1" x14ac:dyDescent="0.25">
      <c r="A3" s="1641"/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</row>
    <row r="4" spans="1:12" x14ac:dyDescent="0.25">
      <c r="A4" s="1618"/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ht="13.8" x14ac:dyDescent="0.25">
      <c r="A5" s="1826" t="str">
        <f>'3.1'!A3:K3</f>
        <v>J J BORGES DE OLIVEIRA EIRELI</v>
      </c>
      <c r="B5" s="1826"/>
      <c r="C5" s="1826"/>
      <c r="D5" s="1826"/>
      <c r="E5" s="1826"/>
      <c r="F5" s="1826"/>
      <c r="G5" s="1826"/>
      <c r="H5" s="1826"/>
      <c r="I5" s="1826"/>
      <c r="J5" s="1826"/>
      <c r="K5" s="1826"/>
      <c r="L5" s="846" t="s">
        <v>411</v>
      </c>
    </row>
    <row r="6" spans="1:12" x14ac:dyDescent="0.25">
      <c r="A6" s="1825" t="str">
        <f>'3.1'!A4</f>
        <v>20.129.307/0001-02</v>
      </c>
      <c r="B6" s="1825"/>
      <c r="C6" s="1825"/>
      <c r="D6" s="1825"/>
      <c r="E6" s="1825"/>
      <c r="F6" s="1825"/>
      <c r="G6" s="1825"/>
      <c r="H6" s="1825"/>
      <c r="I6" s="1825"/>
      <c r="J6" s="1825"/>
      <c r="K6" s="1825"/>
      <c r="L6" s="847"/>
    </row>
    <row r="7" spans="1:12" ht="14.7" customHeight="1" x14ac:dyDescent="0.25">
      <c r="A7" s="1619"/>
      <c r="B7" s="1619"/>
      <c r="C7" s="1619"/>
      <c r="D7" s="1619"/>
      <c r="E7" s="1619"/>
      <c r="F7" s="1619"/>
      <c r="G7" s="1619"/>
      <c r="H7" s="1619"/>
      <c r="I7" s="1619"/>
      <c r="J7" s="1619"/>
      <c r="K7" s="1619"/>
      <c r="L7" s="1642" t="s">
        <v>543</v>
      </c>
    </row>
    <row r="8" spans="1:12" x14ac:dyDescent="0.25">
      <c r="A8" s="848"/>
      <c r="B8" s="849"/>
      <c r="C8" s="850"/>
      <c r="D8" s="851"/>
      <c r="E8" s="852"/>
      <c r="F8" s="850"/>
      <c r="G8" s="850"/>
      <c r="H8" s="850"/>
      <c r="I8" s="850"/>
      <c r="J8" s="850"/>
      <c r="K8" s="853"/>
      <c r="L8" s="1642"/>
    </row>
    <row r="9" spans="1:12" ht="12.75" customHeight="1" x14ac:dyDescent="0.25">
      <c r="A9" s="855"/>
      <c r="B9" s="855"/>
      <c r="C9" s="856"/>
      <c r="D9" s="857"/>
      <c r="E9" s="857"/>
      <c r="F9" s="858"/>
      <c r="G9" s="858"/>
      <c r="H9" s="858"/>
      <c r="I9" s="858"/>
      <c r="J9" s="858"/>
      <c r="K9" s="858"/>
      <c r="L9" s="859"/>
    </row>
    <row r="10" spans="1:12" x14ac:dyDescent="0.25">
      <c r="A10" s="1620"/>
      <c r="B10" s="1620"/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</row>
    <row r="11" spans="1:12" x14ac:dyDescent="0.25">
      <c r="A11" s="1155"/>
      <c r="B11" s="857"/>
      <c r="C11" s="856"/>
      <c r="D11" s="857"/>
      <c r="E11" s="856"/>
      <c r="F11" s="856"/>
      <c r="G11" s="856"/>
      <c r="H11" s="856"/>
      <c r="I11" s="856"/>
      <c r="J11" s="856"/>
      <c r="K11" s="856"/>
      <c r="L11" s="1156"/>
    </row>
    <row r="12" spans="1:12" x14ac:dyDescent="0.25">
      <c r="A12" s="1616" t="s">
        <v>413</v>
      </c>
      <c r="B12" s="1616"/>
      <c r="C12" s="1616"/>
      <c r="D12" s="1616"/>
      <c r="E12" s="860" t="str">
        <f>'[1]Planilha orçamentária'!E9</f>
        <v>Construção / Recuperação e complementação de estradas vicinais</v>
      </c>
      <c r="F12" s="861"/>
      <c r="G12" s="861"/>
      <c r="H12" s="861"/>
      <c r="I12" s="861"/>
      <c r="J12" s="861"/>
      <c r="K12" s="861"/>
      <c r="L12" s="862"/>
    </row>
    <row r="13" spans="1:12" x14ac:dyDescent="0.25">
      <c r="A13" s="863"/>
      <c r="B13" s="851"/>
      <c r="C13" s="864"/>
      <c r="D13" s="851"/>
      <c r="E13" s="851"/>
      <c r="F13" s="850"/>
      <c r="G13" s="850"/>
      <c r="H13" s="850"/>
      <c r="I13" s="850"/>
      <c r="J13" s="850"/>
      <c r="K13" s="850"/>
      <c r="L13" s="865"/>
    </row>
    <row r="14" spans="1:12" ht="9.4499999999999993" customHeight="1" x14ac:dyDescent="0.25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9"/>
    </row>
    <row r="15" spans="1:12" x14ac:dyDescent="0.25">
      <c r="A15" s="1621" t="s">
        <v>414</v>
      </c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</row>
    <row r="16" spans="1:12" x14ac:dyDescent="0.25">
      <c r="A16" s="1621"/>
      <c r="B16" s="1621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</row>
    <row r="17" spans="1:12" x14ac:dyDescent="0.25">
      <c r="A17" s="866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</row>
    <row r="18" spans="1:12" ht="20.7" customHeight="1" x14ac:dyDescent="0.25">
      <c r="A18" s="867" t="s">
        <v>415</v>
      </c>
      <c r="B18" s="868"/>
      <c r="C18" s="868"/>
      <c r="D18" s="869" t="str">
        <f>'[1]Planilha orçamentária'!B44</f>
        <v>4.1</v>
      </c>
      <c r="E18" s="1671" t="s">
        <v>544</v>
      </c>
      <c r="F18" s="1671"/>
      <c r="G18" s="1671"/>
      <c r="H18" s="1671"/>
      <c r="I18" s="1671"/>
      <c r="J18" s="1671"/>
      <c r="K18" s="871" t="s">
        <v>417</v>
      </c>
      <c r="L18" s="872" t="s">
        <v>504</v>
      </c>
    </row>
    <row r="19" spans="1:12" ht="15.75" customHeight="1" x14ac:dyDescent="0.25">
      <c r="A19" s="855"/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</row>
    <row r="20" spans="1:12" x14ac:dyDescent="0.25">
      <c r="A20" s="1629" t="s">
        <v>426</v>
      </c>
      <c r="B20" s="1629"/>
      <c r="C20" s="1629"/>
      <c r="D20" s="1629"/>
      <c r="E20" s="1629"/>
      <c r="F20" s="1629"/>
      <c r="G20" s="1630" t="s">
        <v>164</v>
      </c>
      <c r="H20" s="1630" t="s">
        <v>284</v>
      </c>
      <c r="I20" s="1630"/>
      <c r="J20" s="1645" t="s">
        <v>471</v>
      </c>
      <c r="K20" s="1645"/>
      <c r="L20" s="1018" t="s">
        <v>472</v>
      </c>
    </row>
    <row r="21" spans="1:12" x14ac:dyDescent="0.25">
      <c r="A21" s="1629"/>
      <c r="B21" s="1629"/>
      <c r="C21" s="1629"/>
      <c r="D21" s="1629"/>
      <c r="E21" s="1629"/>
      <c r="F21" s="1629"/>
      <c r="G21" s="1630"/>
      <c r="H21" s="886" t="s">
        <v>473</v>
      </c>
      <c r="I21" s="1019" t="s">
        <v>474</v>
      </c>
      <c r="J21" s="886" t="s">
        <v>473</v>
      </c>
      <c r="K21" s="1019" t="s">
        <v>474</v>
      </c>
      <c r="L21" s="1020" t="s">
        <v>475</v>
      </c>
    </row>
    <row r="22" spans="1:12" x14ac:dyDescent="0.25">
      <c r="A22" s="984" t="str">
        <f>'[1]Composições - Equipamentos'!A35</f>
        <v>DNIT –</v>
      </c>
      <c r="B22" s="1026" t="str">
        <f>'[1]Composições - Equipamentos'!B35</f>
        <v>E9540</v>
      </c>
      <c r="C22" s="922" t="s">
        <v>434</v>
      </c>
      <c r="D22" s="1683" t="str">
        <f>'[1]Composições - Equipamentos'!C35</f>
        <v>Trator de esteiras com lâmina - 112 kW (D6N - Caterpillar)</v>
      </c>
      <c r="E22" s="1683"/>
      <c r="F22" s="1683"/>
      <c r="G22" s="1052">
        <v>5.5999999999999995E-4</v>
      </c>
      <c r="H22" s="1024">
        <v>1</v>
      </c>
      <c r="I22" s="904">
        <v>0</v>
      </c>
      <c r="J22" s="929">
        <f>'[1]Composições - Equipamentos'!S35</f>
        <v>199.35740000000001</v>
      </c>
      <c r="K22" s="929">
        <f>'[1]Composições - Equipamentos'!T35</f>
        <v>80.469300000000004</v>
      </c>
      <c r="L22" s="929">
        <f>(G22*H22*J22)+(G22*I22*K22)</f>
        <v>0.111640144</v>
      </c>
    </row>
    <row r="23" spans="1:12" x14ac:dyDescent="0.25">
      <c r="A23" s="1094"/>
      <c r="B23" s="885"/>
      <c r="C23" s="922"/>
      <c r="D23" s="885"/>
      <c r="E23" s="885"/>
      <c r="F23" s="885"/>
      <c r="G23" s="1081"/>
      <c r="H23" s="1024"/>
      <c r="I23" s="904"/>
      <c r="J23" s="1032"/>
      <c r="K23" s="1027"/>
      <c r="L23" s="929"/>
    </row>
    <row r="24" spans="1:12" x14ac:dyDescent="0.25">
      <c r="A24" s="1646" t="s">
        <v>476</v>
      </c>
      <c r="B24" s="1646"/>
      <c r="C24" s="1646"/>
      <c r="D24" s="1646"/>
      <c r="E24" s="1646"/>
      <c r="F24" s="1646"/>
      <c r="G24" s="1646"/>
      <c r="H24" s="1646"/>
      <c r="I24" s="1646"/>
      <c r="J24" s="1646"/>
      <c r="K24" s="1646"/>
      <c r="L24" s="976">
        <f>ROUND(SUM(L22:L23),4)</f>
        <v>0.1116</v>
      </c>
    </row>
    <row r="25" spans="1:12" x14ac:dyDescent="0.25">
      <c r="A25" s="873"/>
      <c r="B25" s="873"/>
      <c r="C25" s="873"/>
      <c r="D25" s="873"/>
      <c r="E25" s="873"/>
      <c r="F25" s="873"/>
      <c r="G25" s="873"/>
      <c r="H25" s="966"/>
      <c r="I25" s="966"/>
      <c r="J25" s="966"/>
      <c r="K25" s="966"/>
      <c r="L25" s="966"/>
    </row>
    <row r="26" spans="1:12" ht="14.7" customHeight="1" x14ac:dyDescent="0.25">
      <c r="A26" s="1629" t="s">
        <v>439</v>
      </c>
      <c r="B26" s="1629"/>
      <c r="C26" s="1629"/>
      <c r="D26" s="1629"/>
      <c r="E26" s="1629"/>
      <c r="F26" s="1629"/>
      <c r="G26" s="1629"/>
      <c r="H26" s="1629"/>
      <c r="I26" s="1629"/>
      <c r="J26" s="1630" t="s">
        <v>164</v>
      </c>
      <c r="K26" s="1631" t="s">
        <v>477</v>
      </c>
      <c r="L26" s="1018" t="s">
        <v>441</v>
      </c>
    </row>
    <row r="27" spans="1:12" x14ac:dyDescent="0.25">
      <c r="A27" s="1629"/>
      <c r="B27" s="1629"/>
      <c r="C27" s="1629"/>
      <c r="D27" s="1629"/>
      <c r="E27" s="1629"/>
      <c r="F27" s="1629"/>
      <c r="G27" s="1629"/>
      <c r="H27" s="1629"/>
      <c r="I27" s="1629"/>
      <c r="J27" s="1630"/>
      <c r="K27" s="1631"/>
      <c r="L27" s="1020" t="s">
        <v>475</v>
      </c>
    </row>
    <row r="28" spans="1:12" ht="9.4499999999999993" customHeight="1" x14ac:dyDescent="0.25">
      <c r="A28" s="984" t="str">
        <f>'[1]Atualização de custos unitarios'!A74</f>
        <v>DNIT –</v>
      </c>
      <c r="B28" s="1087" t="str">
        <f>'[1]Atualização de custos unitarios'!B74</f>
        <v>P9801</v>
      </c>
      <c r="C28" s="922" t="s">
        <v>434</v>
      </c>
      <c r="D28" s="1685" t="str">
        <f>'[1]Atualização de custos unitarios'!C74</f>
        <v>Ajudante</v>
      </c>
      <c r="E28" s="1685"/>
      <c r="F28" s="1685"/>
      <c r="G28" s="1685"/>
      <c r="H28" s="1685"/>
      <c r="I28" s="1685"/>
      <c r="J28" s="1023">
        <v>3.0000000000000001E-3</v>
      </c>
      <c r="K28" s="963">
        <f>'1.1'!G92</f>
        <v>15.729999999999999</v>
      </c>
      <c r="L28" s="1158">
        <f>J28*K28</f>
        <v>4.7189999999999996E-2</v>
      </c>
    </row>
    <row r="29" spans="1:12" x14ac:dyDescent="0.25">
      <c r="A29" s="984"/>
      <c r="B29" s="1026"/>
      <c r="C29" s="922"/>
      <c r="D29" s="885"/>
      <c r="E29" s="885"/>
      <c r="F29" s="885"/>
      <c r="G29" s="885"/>
      <c r="H29" s="885"/>
      <c r="I29" s="1157"/>
      <c r="J29" s="1023"/>
      <c r="K29" s="963"/>
      <c r="L29" s="1158"/>
    </row>
    <row r="30" spans="1:12" x14ac:dyDescent="0.25">
      <c r="A30" s="1094"/>
      <c r="B30" s="885"/>
      <c r="C30" s="922"/>
      <c r="D30" s="885"/>
      <c r="E30" s="885"/>
      <c r="F30" s="885"/>
      <c r="G30" s="855"/>
      <c r="H30" s="922"/>
      <c r="I30" s="1035"/>
      <c r="J30" s="1023"/>
      <c r="K30" s="963"/>
      <c r="L30" s="1158">
        <f t="shared" ref="L30:L31" si="0">J30*K30</f>
        <v>0</v>
      </c>
    </row>
    <row r="31" spans="1:12" x14ac:dyDescent="0.25">
      <c r="A31" s="1028"/>
      <c r="B31" s="1029"/>
      <c r="C31" s="1029"/>
      <c r="D31" s="1029"/>
      <c r="E31" s="1029"/>
      <c r="F31" s="1029"/>
      <c r="G31" s="849"/>
      <c r="H31" s="1019"/>
      <c r="I31" s="1039"/>
      <c r="J31" s="1031"/>
      <c r="K31" s="963"/>
      <c r="L31" s="1158">
        <f t="shared" si="0"/>
        <v>0</v>
      </c>
    </row>
    <row r="32" spans="1:12" x14ac:dyDescent="0.25">
      <c r="A32" s="1043"/>
      <c r="B32" s="873"/>
      <c r="C32" s="873"/>
      <c r="D32" s="873"/>
      <c r="E32" s="873"/>
      <c r="F32" s="873"/>
      <c r="G32" s="873"/>
      <c r="H32" s="873"/>
      <c r="I32" s="873"/>
      <c r="J32" s="966"/>
      <c r="K32" s="1046" t="s">
        <v>478</v>
      </c>
      <c r="L32" s="976">
        <f>ROUND(SUM(L28:L31),4)</f>
        <v>4.7199999999999999E-2</v>
      </c>
    </row>
    <row r="33" spans="1:12" x14ac:dyDescent="0.25">
      <c r="A33" s="873"/>
      <c r="B33" s="873"/>
      <c r="C33" s="873"/>
      <c r="D33" s="873"/>
      <c r="E33" s="873"/>
      <c r="F33" s="873"/>
      <c r="G33" s="873"/>
      <c r="H33" s="873"/>
      <c r="I33" s="873"/>
      <c r="J33" s="966"/>
      <c r="K33" s="966"/>
      <c r="L33" s="966"/>
    </row>
    <row r="34" spans="1:12" x14ac:dyDescent="0.25">
      <c r="A34" s="873"/>
      <c r="B34" s="873"/>
      <c r="C34" s="873"/>
      <c r="D34" s="873"/>
      <c r="E34" s="873"/>
      <c r="F34" s="873"/>
      <c r="G34" s="873"/>
      <c r="H34" s="873"/>
      <c r="I34" s="873"/>
      <c r="J34" s="966"/>
      <c r="K34" s="1041" t="s">
        <v>479</v>
      </c>
      <c r="L34" s="1042">
        <f>L24+L32</f>
        <v>0.1588</v>
      </c>
    </row>
    <row r="35" spans="1:12" x14ac:dyDescent="0.25">
      <c r="A35" s="1043" t="s">
        <v>480</v>
      </c>
      <c r="B35" s="873"/>
      <c r="C35" s="873"/>
      <c r="D35" s="873"/>
      <c r="E35" s="873"/>
      <c r="F35" s="1044">
        <v>1</v>
      </c>
      <c r="G35" s="1045" t="str">
        <f>L18</f>
        <v>m²</v>
      </c>
      <c r="H35" s="1043"/>
      <c r="I35" s="873"/>
      <c r="J35" s="1046"/>
      <c r="K35" s="1047" t="s">
        <v>481</v>
      </c>
      <c r="L35" s="976">
        <f>L34/F35</f>
        <v>0.1588</v>
      </c>
    </row>
    <row r="36" spans="1:12" x14ac:dyDescent="0.25">
      <c r="A36" s="1043"/>
      <c r="B36" s="873" t="s">
        <v>482</v>
      </c>
      <c r="C36" s="873"/>
      <c r="D36" s="873"/>
      <c r="E36" s="873"/>
      <c r="F36" s="1044">
        <f>ROUND([1]FIC!$F$10*[1]FIC!$H$21*[1]FIC!$H$34*[1]FIC!$L$6,5)</f>
        <v>8.1600000000000006E-3</v>
      </c>
      <c r="G36" s="1045"/>
      <c r="H36" s="1043"/>
      <c r="I36" s="873"/>
      <c r="J36" s="1046"/>
      <c r="K36" s="1041" t="s">
        <v>483</v>
      </c>
      <c r="L36" s="976">
        <f>L35*F36</f>
        <v>1.2958080000000001E-3</v>
      </c>
    </row>
    <row r="37" spans="1:12" x14ac:dyDescent="0.25">
      <c r="A37" s="1043"/>
      <c r="B37" s="873" t="s">
        <v>484</v>
      </c>
      <c r="C37" s="873"/>
      <c r="D37" s="873"/>
      <c r="E37" s="873"/>
      <c r="F37" s="1159"/>
      <c r="G37" s="1045"/>
      <c r="H37" s="1046"/>
      <c r="I37" s="1048"/>
      <c r="J37" s="966"/>
      <c r="K37" s="1041" t="s">
        <v>485</v>
      </c>
      <c r="L37" s="976">
        <f>L35*F37</f>
        <v>0</v>
      </c>
    </row>
    <row r="38" spans="1:12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966"/>
      <c r="K38" s="966"/>
      <c r="L38" s="1040"/>
    </row>
    <row r="39" spans="1:12" x14ac:dyDescent="0.25">
      <c r="A39" s="1629" t="s">
        <v>486</v>
      </c>
      <c r="B39" s="1629"/>
      <c r="C39" s="1629"/>
      <c r="D39" s="1629"/>
      <c r="E39" s="1629"/>
      <c r="F39" s="1629"/>
      <c r="G39" s="1629"/>
      <c r="H39" s="1629"/>
      <c r="I39" s="1639" t="s">
        <v>487</v>
      </c>
      <c r="J39" s="1639"/>
      <c r="K39" s="1639"/>
      <c r="L39" s="1049">
        <f>ROUND(SUM(L35:L38),4)</f>
        <v>0.16009999999999999</v>
      </c>
    </row>
    <row r="40" spans="1:12" x14ac:dyDescent="0.25">
      <c r="A40" s="855"/>
      <c r="B40" s="855"/>
      <c r="C40" s="855"/>
      <c r="D40" s="855"/>
      <c r="E40" s="855"/>
      <c r="F40" s="855"/>
      <c r="G40" s="1050"/>
      <c r="H40" s="1050"/>
      <c r="I40" s="876"/>
      <c r="J40" s="876"/>
      <c r="K40" s="876"/>
      <c r="L40" s="855"/>
    </row>
    <row r="41" spans="1:12" x14ac:dyDescent="0.25">
      <c r="A41" s="1629" t="s">
        <v>488</v>
      </c>
      <c r="B41" s="1629"/>
      <c r="C41" s="1629"/>
      <c r="D41" s="1629"/>
      <c r="E41" s="1629"/>
      <c r="F41" s="1629"/>
      <c r="G41" s="1629"/>
      <c r="H41" s="1630" t="s">
        <v>164</v>
      </c>
      <c r="I41" s="1630"/>
      <c r="J41" s="1630" t="s">
        <v>163</v>
      </c>
      <c r="K41" s="1018" t="s">
        <v>489</v>
      </c>
      <c r="L41" s="1018" t="s">
        <v>472</v>
      </c>
    </row>
    <row r="42" spans="1:12" x14ac:dyDescent="0.25">
      <c r="A42" s="1629"/>
      <c r="B42" s="1629"/>
      <c r="C42" s="1629"/>
      <c r="D42" s="1629"/>
      <c r="E42" s="1629"/>
      <c r="F42" s="1629"/>
      <c r="G42" s="1629"/>
      <c r="H42" s="1630"/>
      <c r="I42" s="1630"/>
      <c r="J42" s="1630"/>
      <c r="K42" s="1051" t="s">
        <v>490</v>
      </c>
      <c r="L42" s="1020" t="s">
        <v>490</v>
      </c>
    </row>
    <row r="43" spans="1:12" x14ac:dyDescent="0.25">
      <c r="A43" s="1160"/>
      <c r="B43" s="885"/>
      <c r="C43" s="922"/>
      <c r="D43" s="885"/>
      <c r="E43" s="885"/>
      <c r="F43" s="885"/>
      <c r="G43" s="880"/>
      <c r="H43" s="1686"/>
      <c r="I43" s="1686"/>
      <c r="J43" s="1053"/>
      <c r="K43" s="963"/>
      <c r="L43" s="1162">
        <f t="shared" ref="L43:L44" si="1">H43*K43</f>
        <v>0</v>
      </c>
    </row>
    <row r="44" spans="1:12" x14ac:dyDescent="0.25">
      <c r="A44" s="1055"/>
      <c r="B44" s="922"/>
      <c r="C44" s="922"/>
      <c r="D44" s="1029"/>
      <c r="E44" s="1029"/>
      <c r="F44" s="1029"/>
      <c r="G44" s="1056"/>
      <c r="H44" s="1660"/>
      <c r="I44" s="1660"/>
      <c r="J44" s="1053"/>
      <c r="K44" s="963"/>
      <c r="L44" s="1163">
        <f t="shared" si="1"/>
        <v>0</v>
      </c>
    </row>
    <row r="45" spans="1:12" ht="9.4499999999999993" customHeight="1" x14ac:dyDescent="0.25">
      <c r="A45" s="1637" t="s">
        <v>491</v>
      </c>
      <c r="B45" s="1637"/>
      <c r="C45" s="1637"/>
      <c r="D45" s="1637"/>
      <c r="E45" s="1637"/>
      <c r="F45" s="1637"/>
      <c r="G45" s="1637"/>
      <c r="H45" s="1637"/>
      <c r="I45" s="1637"/>
      <c r="J45" s="1637"/>
      <c r="K45" s="1637"/>
      <c r="L45" s="1049">
        <f>ROUND(SUM(L43:L44),4)</f>
        <v>0</v>
      </c>
    </row>
    <row r="46" spans="1:12" x14ac:dyDescent="0.25">
      <c r="A46" s="875"/>
      <c r="B46" s="875"/>
      <c r="C46" s="875"/>
      <c r="D46" s="875"/>
      <c r="E46" s="875"/>
      <c r="F46" s="875"/>
      <c r="G46" s="875"/>
      <c r="H46" s="875"/>
      <c r="I46" s="875"/>
      <c r="J46" s="855"/>
      <c r="K46" s="1057"/>
      <c r="L46" s="1058"/>
    </row>
    <row r="47" spans="1:12" ht="14.7" customHeight="1" x14ac:dyDescent="0.25">
      <c r="A47" s="1629" t="s">
        <v>492</v>
      </c>
      <c r="B47" s="1629"/>
      <c r="C47" s="1629"/>
      <c r="D47" s="1629"/>
      <c r="E47" s="1629"/>
      <c r="F47" s="1629"/>
      <c r="G47" s="1631" t="s">
        <v>493</v>
      </c>
      <c r="H47" s="1630" t="s">
        <v>494</v>
      </c>
      <c r="I47" s="1630"/>
      <c r="J47" s="1630"/>
      <c r="K47" s="1630"/>
      <c r="L47" s="1630" t="s">
        <v>495</v>
      </c>
    </row>
    <row r="48" spans="1:12" x14ac:dyDescent="0.25">
      <c r="A48" s="1629"/>
      <c r="B48" s="1629"/>
      <c r="C48" s="1629"/>
      <c r="D48" s="1629"/>
      <c r="E48" s="1629"/>
      <c r="F48" s="1629"/>
      <c r="G48" s="1631"/>
      <c r="H48" s="887" t="s">
        <v>110</v>
      </c>
      <c r="I48" s="1039" t="s">
        <v>302</v>
      </c>
      <c r="J48" s="1020" t="s">
        <v>305</v>
      </c>
      <c r="K48" s="1051" t="s">
        <v>307</v>
      </c>
      <c r="L48" s="1630"/>
    </row>
    <row r="49" spans="1:12" x14ac:dyDescent="0.25">
      <c r="A49" s="1629"/>
      <c r="B49" s="1629"/>
      <c r="C49" s="1629"/>
      <c r="D49" s="1629"/>
      <c r="E49" s="1629"/>
      <c r="F49" s="1629"/>
      <c r="G49" s="1631"/>
      <c r="H49" s="886" t="s">
        <v>496</v>
      </c>
      <c r="I49" s="1059"/>
      <c r="J49" s="1059"/>
      <c r="K49" s="1059"/>
      <c r="L49" s="1630"/>
    </row>
    <row r="50" spans="1:12" x14ac:dyDescent="0.25">
      <c r="A50" s="1652"/>
      <c r="B50" s="1653"/>
      <c r="C50" s="1654"/>
      <c r="D50" s="1655"/>
      <c r="E50" s="1655"/>
      <c r="F50" s="1656"/>
      <c r="G50" s="1657">
        <f>ROUND(H43/1000,5)</f>
        <v>0</v>
      </c>
      <c r="H50" s="1060" t="s">
        <v>497</v>
      </c>
      <c r="I50" s="1061"/>
      <c r="J50" s="1061"/>
      <c r="K50" s="1061"/>
      <c r="L50" s="1651">
        <f>G50*($I$49*I51+$J$49*J51+$K$49*K51)</f>
        <v>0</v>
      </c>
    </row>
    <row r="51" spans="1:12" x14ac:dyDescent="0.25">
      <c r="A51" s="1652"/>
      <c r="B51" s="1653"/>
      <c r="C51" s="1654"/>
      <c r="D51" s="1655"/>
      <c r="E51" s="1655"/>
      <c r="F51" s="1656"/>
      <c r="G51" s="1657"/>
      <c r="H51" s="1062" t="s">
        <v>498</v>
      </c>
      <c r="I51" s="1063"/>
      <c r="J51" s="1063"/>
      <c r="K51" s="1063"/>
      <c r="L51" s="1651"/>
    </row>
    <row r="52" spans="1:12" x14ac:dyDescent="0.25">
      <c r="A52" s="984"/>
      <c r="B52" s="901"/>
      <c r="C52" s="922"/>
      <c r="D52" s="1093"/>
      <c r="E52" s="1093"/>
      <c r="F52" s="1072"/>
      <c r="G52" s="1052"/>
      <c r="H52" s="1148"/>
      <c r="I52" s="1149"/>
      <c r="J52" s="904"/>
      <c r="K52" s="1024"/>
      <c r="L52" s="929"/>
    </row>
    <row r="53" spans="1:12" x14ac:dyDescent="0.25">
      <c r="A53" s="1055"/>
      <c r="B53" s="922"/>
      <c r="C53" s="922"/>
      <c r="D53" s="1029"/>
      <c r="E53" s="1029"/>
      <c r="F53" s="1029"/>
      <c r="G53" s="1064"/>
      <c r="H53" s="1164"/>
      <c r="I53" s="1164"/>
      <c r="J53" s="1066"/>
      <c r="K53" s="985"/>
      <c r="L53" s="1067">
        <f>G53*H53*K53</f>
        <v>0</v>
      </c>
    </row>
    <row r="54" spans="1:12" x14ac:dyDescent="0.25">
      <c r="A54" s="1637" t="s">
        <v>499</v>
      </c>
      <c r="B54" s="1637"/>
      <c r="C54" s="1637"/>
      <c r="D54" s="1637"/>
      <c r="E54" s="1637"/>
      <c r="F54" s="1637"/>
      <c r="G54" s="1637"/>
      <c r="H54" s="1637"/>
      <c r="I54" s="1637"/>
      <c r="J54" s="1637"/>
      <c r="K54" s="1637"/>
      <c r="L54" s="968">
        <f>ROUND(SUM(L50:L53),4)</f>
        <v>0</v>
      </c>
    </row>
    <row r="55" spans="1:12" x14ac:dyDescent="0.25">
      <c r="A55" s="990"/>
      <c r="B55" s="990"/>
      <c r="C55" s="990"/>
      <c r="D55" s="990"/>
      <c r="E55" s="990"/>
      <c r="F55" s="990"/>
      <c r="G55" s="875"/>
      <c r="H55" s="991"/>
      <c r="I55" s="991"/>
      <c r="J55" s="992"/>
      <c r="K55" s="993"/>
      <c r="L55" s="994"/>
    </row>
    <row r="56" spans="1:12" x14ac:dyDescent="0.25">
      <c r="A56" s="1637" t="s">
        <v>448</v>
      </c>
      <c r="B56" s="1637"/>
      <c r="C56" s="1637"/>
      <c r="D56" s="1637"/>
      <c r="E56" s="1637"/>
      <c r="F56" s="1637"/>
      <c r="G56" s="1637"/>
      <c r="H56" s="1637"/>
      <c r="I56" s="1637"/>
      <c r="J56" s="1637"/>
      <c r="K56" s="1637"/>
      <c r="L56" s="968">
        <f>ROUND(L39+L45+L54,4)</f>
        <v>0.16009999999999999</v>
      </c>
    </row>
    <row r="57" spans="1:12" x14ac:dyDescent="0.25">
      <c r="A57" s="1638" t="s">
        <v>449</v>
      </c>
      <c r="B57" s="1638"/>
      <c r="C57" s="1638"/>
      <c r="D57" s="1638"/>
      <c r="E57" s="1638"/>
      <c r="F57" s="1638"/>
      <c r="G57" s="1638"/>
      <c r="H57" s="1638"/>
      <c r="I57" s="1638"/>
      <c r="J57" s="1638"/>
      <c r="K57" s="996">
        <f>[1]LDI!I34</f>
        <v>0.25569999999999998</v>
      </c>
      <c r="L57" s="997">
        <f>ROUND(L56*K57,4)</f>
        <v>4.0899999999999999E-2</v>
      </c>
    </row>
    <row r="58" spans="1:12" x14ac:dyDescent="0.25">
      <c r="A58" s="1639" t="s">
        <v>450</v>
      </c>
      <c r="B58" s="1639"/>
      <c r="C58" s="1639"/>
      <c r="D58" s="1639"/>
      <c r="E58" s="1639"/>
      <c r="F58" s="1639"/>
      <c r="G58" s="1639"/>
      <c r="H58" s="1639"/>
      <c r="I58" s="1639"/>
      <c r="J58" s="1639"/>
      <c r="K58" s="1639"/>
      <c r="L58" s="1069">
        <f>ROUND(L56+L57,2)</f>
        <v>0.2</v>
      </c>
    </row>
    <row r="59" spans="1:12" ht="21.75" customHeight="1" x14ac:dyDescent="0.25">
      <c r="A59" s="999"/>
      <c r="B59" s="999"/>
      <c r="C59" s="999"/>
      <c r="D59" s="999"/>
      <c r="E59" s="999"/>
      <c r="F59" s="999"/>
      <c r="G59" s="999"/>
      <c r="H59" s="999"/>
      <c r="I59" s="999"/>
      <c r="J59" s="999"/>
      <c r="K59" s="999"/>
      <c r="L59" s="999"/>
    </row>
    <row r="60" spans="1:12" ht="20.25" customHeight="1" x14ac:dyDescent="0.25">
      <c r="A60" s="1000" t="s">
        <v>451</v>
      </c>
      <c r="B60" s="1001"/>
      <c r="C60" s="1687" t="s">
        <v>545</v>
      </c>
      <c r="D60" s="1687"/>
      <c r="E60" s="1687"/>
      <c r="F60" s="1687"/>
      <c r="G60" s="1687"/>
      <c r="H60" s="1687"/>
      <c r="I60" s="1687"/>
      <c r="J60" s="1687"/>
      <c r="K60" s="1687"/>
      <c r="L60" s="1687"/>
    </row>
    <row r="61" spans="1:12" ht="14.7" customHeight="1" x14ac:dyDescent="0.25">
      <c r="A61" s="1083"/>
      <c r="B61" s="1084"/>
      <c r="C61" s="1680" t="s">
        <v>507</v>
      </c>
      <c r="D61" s="1680"/>
      <c r="E61" s="1680"/>
      <c r="F61" s="1680"/>
      <c r="G61" s="1680"/>
      <c r="H61" s="1680"/>
      <c r="I61" s="1680"/>
      <c r="J61" s="1680"/>
      <c r="K61" s="1680"/>
      <c r="L61" s="1680"/>
    </row>
    <row r="62" spans="1:12" x14ac:dyDescent="0.25">
      <c r="A62" s="1165"/>
      <c r="B62" s="1166"/>
      <c r="C62" s="1166"/>
      <c r="D62" s="1166"/>
      <c r="E62" s="1166"/>
      <c r="F62" s="1166"/>
      <c r="G62" s="1166"/>
      <c r="H62" s="1166"/>
      <c r="I62" s="1166"/>
      <c r="J62" s="1166"/>
      <c r="K62" s="1166"/>
      <c r="L62" s="1167"/>
    </row>
    <row r="63" spans="1:12" x14ac:dyDescent="0.25">
      <c r="A63" s="1168"/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5"/>
    </row>
    <row r="67" ht="7.5" customHeight="1" x14ac:dyDescent="0.25"/>
  </sheetData>
  <sheetProtection selectLockedCells="1" selectUnlockedCells="1"/>
  <mergeCells count="47">
    <mergeCell ref="C61:L61"/>
    <mergeCell ref="L50:L51"/>
    <mergeCell ref="A54:K54"/>
    <mergeCell ref="A56:K56"/>
    <mergeCell ref="A57:J57"/>
    <mergeCell ref="A58:K58"/>
    <mergeCell ref="C60:L60"/>
    <mergeCell ref="A47:F49"/>
    <mergeCell ref="G47:G49"/>
    <mergeCell ref="H47:K47"/>
    <mergeCell ref="L47:L49"/>
    <mergeCell ref="A50:A51"/>
    <mergeCell ref="B50:B51"/>
    <mergeCell ref="C50:C51"/>
    <mergeCell ref="D50:E51"/>
    <mergeCell ref="F50:F51"/>
    <mergeCell ref="G50:G51"/>
    <mergeCell ref="A45:K45"/>
    <mergeCell ref="A26:I27"/>
    <mergeCell ref="J26:J27"/>
    <mergeCell ref="K26:K27"/>
    <mergeCell ref="D28:I28"/>
    <mergeCell ref="A39:H39"/>
    <mergeCell ref="I39:K39"/>
    <mergeCell ref="A41:G42"/>
    <mergeCell ref="H41:I42"/>
    <mergeCell ref="J41:J42"/>
    <mergeCell ref="H43:I43"/>
    <mergeCell ref="H44:I44"/>
    <mergeCell ref="A24:K24"/>
    <mergeCell ref="A7:K7"/>
    <mergeCell ref="L7:L8"/>
    <mergeCell ref="A10:L10"/>
    <mergeCell ref="A12:D12"/>
    <mergeCell ref="A15:L16"/>
    <mergeCell ref="E18:J18"/>
    <mergeCell ref="A20:F21"/>
    <mergeCell ref="G20:G21"/>
    <mergeCell ref="H20:I20"/>
    <mergeCell ref="J20:K20"/>
    <mergeCell ref="D22:F22"/>
    <mergeCell ref="A6:K6"/>
    <mergeCell ref="A1:L1"/>
    <mergeCell ref="A2:L2"/>
    <mergeCell ref="A3:L3"/>
    <mergeCell ref="A4:L4"/>
    <mergeCell ref="A5:K5"/>
  </mergeCells>
  <dataValidations count="1">
    <dataValidation allowBlank="1" showInputMessage="1" showErrorMessage="1" prompt="Clique duas vezes sobre o número do item para ser direcionado à Planilha Orçamentária." sqref="D18" xr:uid="{00000000-0002-0000-0C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67"/>
  <sheetViews>
    <sheetView view="pageBreakPreview" zoomScale="80" zoomScaleNormal="80" zoomScaleSheetLayoutView="80" workbookViewId="0">
      <selection activeCell="A19" sqref="A18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11" width="8.77734375" style="845" customWidth="1"/>
    <col min="12" max="12" width="11.77734375" style="845" customWidth="1"/>
    <col min="13" max="256" width="11.44140625" customWidth="1"/>
  </cols>
  <sheetData>
    <row r="1" spans="1:12" ht="8.85" customHeight="1" x14ac:dyDescent="0.25">
      <c r="A1" s="1641"/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</row>
    <row r="2" spans="1:12" ht="19.350000000000001" customHeight="1" x14ac:dyDescent="0.3">
      <c r="A2" s="1617" t="str">
        <f>'[1]Planilha orçamentária'!E4</f>
        <v>PROJETO BÁSICO DE ENGENHARIA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</row>
    <row r="3" spans="1:12" ht="8.85" customHeight="1" x14ac:dyDescent="0.25">
      <c r="A3" s="1641"/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</row>
    <row r="4" spans="1:12" x14ac:dyDescent="0.25">
      <c r="A4" s="1618"/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ht="13.8" x14ac:dyDescent="0.25">
      <c r="A5" s="1826" t="str">
        <f>'4.1'!A5:K5</f>
        <v>J J BORGES DE OLIVEIRA EIRELI</v>
      </c>
      <c r="B5" s="1826"/>
      <c r="C5" s="1826"/>
      <c r="D5" s="1826"/>
      <c r="E5" s="1826"/>
      <c r="F5" s="1826"/>
      <c r="G5" s="1826"/>
      <c r="H5" s="1826"/>
      <c r="I5" s="1826"/>
      <c r="J5" s="1826"/>
      <c r="K5" s="1826"/>
      <c r="L5" s="846" t="s">
        <v>411</v>
      </c>
    </row>
    <row r="6" spans="1:12" x14ac:dyDescent="0.25">
      <c r="A6" s="1825" t="str">
        <f>'4.1'!A6</f>
        <v>20.129.307/0001-02</v>
      </c>
      <c r="B6" s="1825"/>
      <c r="C6" s="1825"/>
      <c r="D6" s="1825"/>
      <c r="E6" s="1825"/>
      <c r="F6" s="1825"/>
      <c r="G6" s="1825"/>
      <c r="H6" s="1825"/>
      <c r="I6" s="1825"/>
      <c r="J6" s="1825"/>
      <c r="K6" s="1825"/>
      <c r="L6" s="847"/>
    </row>
    <row r="7" spans="1:12" ht="14.7" customHeight="1" x14ac:dyDescent="0.25">
      <c r="A7" s="1619"/>
      <c r="B7" s="1619"/>
      <c r="C7" s="1619"/>
      <c r="D7" s="1619"/>
      <c r="E7" s="1619"/>
      <c r="F7" s="1619"/>
      <c r="G7" s="1619"/>
      <c r="H7" s="1619"/>
      <c r="I7" s="1619"/>
      <c r="J7" s="1619"/>
      <c r="K7" s="1619"/>
      <c r="L7" s="1642" t="s">
        <v>546</v>
      </c>
    </row>
    <row r="8" spans="1:12" x14ac:dyDescent="0.25">
      <c r="A8" s="848"/>
      <c r="B8" s="849"/>
      <c r="C8" s="850"/>
      <c r="D8" s="851"/>
      <c r="E8" s="852"/>
      <c r="F8" s="850"/>
      <c r="G8" s="850"/>
      <c r="H8" s="850"/>
      <c r="I8" s="850"/>
      <c r="J8" s="850"/>
      <c r="K8" s="853"/>
      <c r="L8" s="1642"/>
    </row>
    <row r="9" spans="1:12" ht="12.75" customHeight="1" x14ac:dyDescent="0.25">
      <c r="A9" s="855"/>
      <c r="B9" s="855"/>
      <c r="C9" s="856"/>
      <c r="D9" s="857"/>
      <c r="E9" s="857"/>
      <c r="F9" s="858"/>
      <c r="G9" s="858"/>
      <c r="H9" s="858"/>
      <c r="I9" s="858"/>
      <c r="J9" s="858"/>
      <c r="K9" s="858"/>
      <c r="L9" s="859"/>
    </row>
    <row r="10" spans="1:12" ht="9.75" customHeight="1" x14ac:dyDescent="0.25">
      <c r="A10" s="1620"/>
      <c r="B10" s="1620"/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</row>
    <row r="11" spans="1:12" ht="8.85" customHeight="1" x14ac:dyDescent="0.25">
      <c r="A11" s="1155"/>
      <c r="B11" s="857"/>
      <c r="C11" s="856"/>
      <c r="D11" s="857"/>
      <c r="E11" s="856"/>
      <c r="F11" s="856"/>
      <c r="G11" s="856"/>
      <c r="H11" s="856"/>
      <c r="I11" s="856"/>
      <c r="J11" s="856"/>
      <c r="K11" s="856"/>
      <c r="L11" s="1156"/>
    </row>
    <row r="12" spans="1:12" x14ac:dyDescent="0.25">
      <c r="A12" s="1616" t="s">
        <v>413</v>
      </c>
      <c r="B12" s="1616"/>
      <c r="C12" s="1616"/>
      <c r="D12" s="1616"/>
      <c r="E12" s="860" t="str">
        <f>'[1]Planilha orçamentária'!E9</f>
        <v>Construção / Recuperação e complementação de estradas vicinais</v>
      </c>
      <c r="F12" s="861"/>
      <c r="G12" s="861"/>
      <c r="H12" s="861"/>
      <c r="I12" s="861"/>
      <c r="J12" s="861"/>
      <c r="K12" s="861"/>
      <c r="L12" s="862"/>
    </row>
    <row r="13" spans="1:12" x14ac:dyDescent="0.25">
      <c r="A13" s="863"/>
      <c r="B13" s="851"/>
      <c r="C13" s="864"/>
      <c r="D13" s="851"/>
      <c r="E13" s="851"/>
      <c r="F13" s="850"/>
      <c r="G13" s="850"/>
      <c r="H13" s="850"/>
      <c r="I13" s="850"/>
      <c r="J13" s="850"/>
      <c r="K13" s="850"/>
      <c r="L13" s="865"/>
    </row>
    <row r="14" spans="1:12" ht="9.4499999999999993" customHeight="1" x14ac:dyDescent="0.25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9"/>
    </row>
    <row r="15" spans="1:12" x14ac:dyDescent="0.25">
      <c r="A15" s="1621" t="s">
        <v>414</v>
      </c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</row>
    <row r="16" spans="1:12" x14ac:dyDescent="0.25">
      <c r="A16" s="1621"/>
      <c r="B16" s="1621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</row>
    <row r="17" spans="1:12" x14ac:dyDescent="0.25">
      <c r="A17" s="866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</row>
    <row r="18" spans="1:12" ht="14.7" customHeight="1" x14ac:dyDescent="0.25">
      <c r="A18" s="867" t="s">
        <v>415</v>
      </c>
      <c r="B18" s="868"/>
      <c r="C18" s="868"/>
      <c r="D18" s="869" t="str">
        <f>'[1]Planilha orçamentária'!B45</f>
        <v>4.2</v>
      </c>
      <c r="E18" s="1671" t="s">
        <v>547</v>
      </c>
      <c r="F18" s="1671"/>
      <c r="G18" s="1671"/>
      <c r="H18" s="1671"/>
      <c r="I18" s="1671"/>
      <c r="J18" s="1671"/>
      <c r="K18" s="871" t="s">
        <v>417</v>
      </c>
      <c r="L18" s="872" t="s">
        <v>504</v>
      </c>
    </row>
    <row r="19" spans="1:12" ht="15.75" customHeight="1" x14ac:dyDescent="0.25">
      <c r="A19" s="855"/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</row>
    <row r="20" spans="1:12" x14ac:dyDescent="0.25">
      <c r="A20" s="1629" t="s">
        <v>426</v>
      </c>
      <c r="B20" s="1629"/>
      <c r="C20" s="1629"/>
      <c r="D20" s="1629"/>
      <c r="E20" s="1629"/>
      <c r="F20" s="1629"/>
      <c r="G20" s="1630" t="s">
        <v>164</v>
      </c>
      <c r="H20" s="1630" t="s">
        <v>284</v>
      </c>
      <c r="I20" s="1630"/>
      <c r="J20" s="1645" t="s">
        <v>471</v>
      </c>
      <c r="K20" s="1645"/>
      <c r="L20" s="1018" t="s">
        <v>472</v>
      </c>
    </row>
    <row r="21" spans="1:12" x14ac:dyDescent="0.25">
      <c r="A21" s="1629"/>
      <c r="B21" s="1629"/>
      <c r="C21" s="1629"/>
      <c r="D21" s="1629"/>
      <c r="E21" s="1629"/>
      <c r="F21" s="1629"/>
      <c r="G21" s="1630"/>
      <c r="H21" s="886" t="s">
        <v>473</v>
      </c>
      <c r="I21" s="1019" t="s">
        <v>474</v>
      </c>
      <c r="J21" s="886" t="s">
        <v>473</v>
      </c>
      <c r="K21" s="1019" t="s">
        <v>474</v>
      </c>
      <c r="L21" s="1020" t="s">
        <v>475</v>
      </c>
    </row>
    <row r="22" spans="1:12" x14ac:dyDescent="0.25">
      <c r="A22" s="984" t="str">
        <f>'[1]Composições - Equipamentos'!A35</f>
        <v>DNIT –</v>
      </c>
      <c r="B22" s="1026" t="str">
        <f>'[1]Composições - Equipamentos'!B35</f>
        <v>E9540</v>
      </c>
      <c r="C22" s="922" t="s">
        <v>434</v>
      </c>
      <c r="D22" s="1683" t="str">
        <f>'[1]Composições - Equipamentos'!C35</f>
        <v>Trator de esteiras com lâmina - 112 kW (D6N - Caterpillar)</v>
      </c>
      <c r="E22" s="1683"/>
      <c r="F22" s="1683"/>
      <c r="G22" s="1052">
        <v>1</v>
      </c>
      <c r="H22" s="1024">
        <v>1</v>
      </c>
      <c r="I22" s="904">
        <v>0</v>
      </c>
      <c r="J22" s="929">
        <f>'[1]Composições - Equipamentos'!S35</f>
        <v>199.35740000000001</v>
      </c>
      <c r="K22" s="929">
        <f>'[1]Composições - Equipamentos'!T35</f>
        <v>80.469300000000004</v>
      </c>
      <c r="L22" s="929">
        <f>(G22*H22*J22)+(G22*I22*K22)</f>
        <v>199.35740000000001</v>
      </c>
    </row>
    <row r="23" spans="1:12" x14ac:dyDescent="0.25">
      <c r="A23" s="1094"/>
      <c r="B23" s="885"/>
      <c r="C23" s="922"/>
      <c r="D23" s="885"/>
      <c r="E23" s="885"/>
      <c r="F23" s="885"/>
      <c r="G23" s="1081"/>
      <c r="H23" s="1024"/>
      <c r="I23" s="904"/>
      <c r="J23" s="1032"/>
      <c r="K23" s="1027"/>
      <c r="L23" s="929"/>
    </row>
    <row r="24" spans="1:12" x14ac:dyDescent="0.25">
      <c r="A24" s="1646" t="s">
        <v>476</v>
      </c>
      <c r="B24" s="1646"/>
      <c r="C24" s="1646"/>
      <c r="D24" s="1646"/>
      <c r="E24" s="1646"/>
      <c r="F24" s="1646"/>
      <c r="G24" s="1646"/>
      <c r="H24" s="1646"/>
      <c r="I24" s="1646"/>
      <c r="J24" s="1646"/>
      <c r="K24" s="1646"/>
      <c r="L24" s="976">
        <f>ROUND(SUM(L22:L23),4)</f>
        <v>199.35740000000001</v>
      </c>
    </row>
    <row r="25" spans="1:12" x14ac:dyDescent="0.25">
      <c r="A25" s="873"/>
      <c r="B25" s="873"/>
      <c r="C25" s="873"/>
      <c r="D25" s="873"/>
      <c r="E25" s="873"/>
      <c r="F25" s="873"/>
      <c r="G25" s="873"/>
      <c r="H25" s="966"/>
      <c r="I25" s="966"/>
      <c r="J25" s="966"/>
      <c r="K25" s="966"/>
      <c r="L25" s="966"/>
    </row>
    <row r="26" spans="1:12" ht="14.7" customHeight="1" x14ac:dyDescent="0.25">
      <c r="A26" s="1629" t="s">
        <v>439</v>
      </c>
      <c r="B26" s="1629"/>
      <c r="C26" s="1629"/>
      <c r="D26" s="1629"/>
      <c r="E26" s="1629"/>
      <c r="F26" s="1629"/>
      <c r="G26" s="1629"/>
      <c r="H26" s="1629"/>
      <c r="I26" s="1629"/>
      <c r="J26" s="1630" t="s">
        <v>164</v>
      </c>
      <c r="K26" s="1631" t="s">
        <v>477</v>
      </c>
      <c r="L26" s="1018" t="s">
        <v>441</v>
      </c>
    </row>
    <row r="27" spans="1:12" x14ac:dyDescent="0.25">
      <c r="A27" s="1629"/>
      <c r="B27" s="1629"/>
      <c r="C27" s="1629"/>
      <c r="D27" s="1629"/>
      <c r="E27" s="1629"/>
      <c r="F27" s="1629"/>
      <c r="G27" s="1629"/>
      <c r="H27" s="1629"/>
      <c r="I27" s="1629"/>
      <c r="J27" s="1630"/>
      <c r="K27" s="1631"/>
      <c r="L27" s="1020" t="s">
        <v>475</v>
      </c>
    </row>
    <row r="28" spans="1:12" ht="9.4499999999999993" customHeight="1" x14ac:dyDescent="0.25">
      <c r="A28" s="984" t="str">
        <f>'[1]Atualização de custos unitarios'!A74</f>
        <v>DNIT –</v>
      </c>
      <c r="B28" s="1087" t="str">
        <f>'[1]Atualização de custos unitarios'!B74</f>
        <v>P9801</v>
      </c>
      <c r="C28" s="922" t="s">
        <v>434</v>
      </c>
      <c r="D28" s="1685" t="str">
        <f>'[1]Atualização de custos unitarios'!C74</f>
        <v>Ajudante</v>
      </c>
      <c r="E28" s="1685"/>
      <c r="F28" s="1685"/>
      <c r="G28" s="1685"/>
      <c r="H28" s="1685"/>
      <c r="I28" s="1685"/>
      <c r="J28" s="1023">
        <v>2</v>
      </c>
      <c r="K28" s="963">
        <f>'1.1'!G92</f>
        <v>15.729999999999999</v>
      </c>
      <c r="L28" s="1158">
        <f>J28*K28</f>
        <v>31.459999999999997</v>
      </c>
    </row>
    <row r="29" spans="1:12" x14ac:dyDescent="0.25">
      <c r="A29" s="984"/>
      <c r="B29" s="1026"/>
      <c r="C29" s="922"/>
      <c r="D29" s="885"/>
      <c r="E29" s="885"/>
      <c r="F29" s="885"/>
      <c r="G29" s="885"/>
      <c r="H29" s="885"/>
      <c r="I29" s="1157"/>
      <c r="J29" s="1023"/>
      <c r="K29" s="963"/>
      <c r="L29" s="1158"/>
    </row>
    <row r="30" spans="1:12" x14ac:dyDescent="0.25">
      <c r="A30" s="1094"/>
      <c r="B30" s="885"/>
      <c r="C30" s="922"/>
      <c r="D30" s="885"/>
      <c r="E30" s="885"/>
      <c r="F30" s="885"/>
      <c r="G30" s="855"/>
      <c r="H30" s="922"/>
      <c r="I30" s="1035"/>
      <c r="J30" s="1023"/>
      <c r="K30" s="963"/>
      <c r="L30" s="1158">
        <f t="shared" ref="L30:L31" si="0">J30*K30</f>
        <v>0</v>
      </c>
    </row>
    <row r="31" spans="1:12" x14ac:dyDescent="0.25">
      <c r="A31" s="1028"/>
      <c r="B31" s="1029"/>
      <c r="C31" s="1029"/>
      <c r="D31" s="1029"/>
      <c r="E31" s="1029"/>
      <c r="F31" s="1029"/>
      <c r="G31" s="849"/>
      <c r="H31" s="1019"/>
      <c r="I31" s="1039"/>
      <c r="J31" s="1031"/>
      <c r="K31" s="963"/>
      <c r="L31" s="1158">
        <f t="shared" si="0"/>
        <v>0</v>
      </c>
    </row>
    <row r="32" spans="1:12" x14ac:dyDescent="0.25">
      <c r="A32" s="1043"/>
      <c r="B32" s="873"/>
      <c r="C32" s="873"/>
      <c r="D32" s="873"/>
      <c r="E32" s="873"/>
      <c r="F32" s="873"/>
      <c r="G32" s="873"/>
      <c r="H32" s="873"/>
      <c r="I32" s="873"/>
      <c r="J32" s="966"/>
      <c r="K32" s="1046" t="s">
        <v>478</v>
      </c>
      <c r="L32" s="976">
        <f>ROUND(SUM(L28:L31),4)</f>
        <v>31.46</v>
      </c>
    </row>
    <row r="33" spans="1:12" x14ac:dyDescent="0.25">
      <c r="A33" s="873"/>
      <c r="B33" s="873"/>
      <c r="C33" s="873"/>
      <c r="D33" s="873"/>
      <c r="E33" s="873"/>
      <c r="F33" s="873"/>
      <c r="G33" s="873"/>
      <c r="H33" s="873"/>
      <c r="I33" s="873"/>
      <c r="J33" s="966"/>
      <c r="K33" s="966"/>
      <c r="L33" s="966"/>
    </row>
    <row r="34" spans="1:12" x14ac:dyDescent="0.25">
      <c r="A34" s="873"/>
      <c r="B34" s="873"/>
      <c r="C34" s="873"/>
      <c r="D34" s="873"/>
      <c r="E34" s="873"/>
      <c r="F34" s="873"/>
      <c r="G34" s="873"/>
      <c r="H34" s="873"/>
      <c r="I34" s="873"/>
      <c r="J34" s="966"/>
      <c r="K34" s="1041" t="s">
        <v>479</v>
      </c>
      <c r="L34" s="1042">
        <f>L24+L32</f>
        <v>230.81740000000002</v>
      </c>
    </row>
    <row r="35" spans="1:12" x14ac:dyDescent="0.25">
      <c r="A35" s="1043" t="s">
        <v>480</v>
      </c>
      <c r="B35" s="873"/>
      <c r="C35" s="873"/>
      <c r="D35" s="873"/>
      <c r="E35" s="873"/>
      <c r="F35" s="1044">
        <v>1144</v>
      </c>
      <c r="G35" s="1045" t="str">
        <f>L18</f>
        <v>m²</v>
      </c>
      <c r="H35" s="1043"/>
      <c r="I35" s="873"/>
      <c r="J35" s="1046"/>
      <c r="K35" s="1047" t="s">
        <v>481</v>
      </c>
      <c r="L35" s="976">
        <f>L34/F35</f>
        <v>0.20176346153846156</v>
      </c>
    </row>
    <row r="36" spans="1:12" x14ac:dyDescent="0.25">
      <c r="A36" s="1043"/>
      <c r="B36" s="873" t="s">
        <v>482</v>
      </c>
      <c r="C36" s="873"/>
      <c r="D36" s="873"/>
      <c r="E36" s="873"/>
      <c r="F36" s="1044">
        <f>ROUND([1]FIC!$F$10*[1]FIC!$H$21*[1]FIC!$H$34*[1]FIC!$L$6,5)</f>
        <v>8.1600000000000006E-3</v>
      </c>
      <c r="G36" s="1045"/>
      <c r="H36" s="1043"/>
      <c r="I36" s="873"/>
      <c r="J36" s="1046"/>
      <c r="K36" s="1041" t="s">
        <v>483</v>
      </c>
      <c r="L36" s="976">
        <f>L35*F36</f>
        <v>1.6463898461538465E-3</v>
      </c>
    </row>
    <row r="37" spans="1:12" x14ac:dyDescent="0.25">
      <c r="A37" s="1043"/>
      <c r="B37" s="873" t="s">
        <v>484</v>
      </c>
      <c r="C37" s="873"/>
      <c r="D37" s="873"/>
      <c r="E37" s="873"/>
      <c r="F37" s="1159"/>
      <c r="G37" s="1045"/>
      <c r="H37" s="1046"/>
      <c r="I37" s="1048"/>
      <c r="J37" s="966"/>
      <c r="K37" s="1041" t="s">
        <v>485</v>
      </c>
      <c r="L37" s="976">
        <f>L35*F37</f>
        <v>0</v>
      </c>
    </row>
    <row r="38" spans="1:12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966"/>
      <c r="K38" s="966"/>
      <c r="L38" s="1040"/>
    </row>
    <row r="39" spans="1:12" x14ac:dyDescent="0.25">
      <c r="A39" s="1629" t="s">
        <v>486</v>
      </c>
      <c r="B39" s="1629"/>
      <c r="C39" s="1629"/>
      <c r="D39" s="1629"/>
      <c r="E39" s="1629"/>
      <c r="F39" s="1629"/>
      <c r="G39" s="1629"/>
      <c r="H39" s="1629"/>
      <c r="I39" s="1639" t="s">
        <v>487</v>
      </c>
      <c r="J39" s="1639"/>
      <c r="K39" s="1639"/>
      <c r="L39" s="1049">
        <f>ROUND(SUM(L35:L38),4)</f>
        <v>0.2034</v>
      </c>
    </row>
    <row r="40" spans="1:12" x14ac:dyDescent="0.25">
      <c r="A40" s="855"/>
      <c r="B40" s="855"/>
      <c r="C40" s="855"/>
      <c r="D40" s="855"/>
      <c r="E40" s="855"/>
      <c r="F40" s="855"/>
      <c r="G40" s="1050"/>
      <c r="H40" s="1050"/>
      <c r="I40" s="876"/>
      <c r="J40" s="876"/>
      <c r="K40" s="876"/>
      <c r="L40" s="855"/>
    </row>
    <row r="41" spans="1:12" x14ac:dyDescent="0.25">
      <c r="A41" s="1629" t="s">
        <v>488</v>
      </c>
      <c r="B41" s="1629"/>
      <c r="C41" s="1629"/>
      <c r="D41" s="1629"/>
      <c r="E41" s="1629"/>
      <c r="F41" s="1629"/>
      <c r="G41" s="1629"/>
      <c r="H41" s="1630" t="s">
        <v>164</v>
      </c>
      <c r="I41" s="1630"/>
      <c r="J41" s="1630" t="s">
        <v>163</v>
      </c>
      <c r="K41" s="1018" t="s">
        <v>489</v>
      </c>
      <c r="L41" s="1018" t="s">
        <v>472</v>
      </c>
    </row>
    <row r="42" spans="1:12" x14ac:dyDescent="0.25">
      <c r="A42" s="1629"/>
      <c r="B42" s="1629"/>
      <c r="C42" s="1629"/>
      <c r="D42" s="1629"/>
      <c r="E42" s="1629"/>
      <c r="F42" s="1629"/>
      <c r="G42" s="1629"/>
      <c r="H42" s="1630"/>
      <c r="I42" s="1630"/>
      <c r="J42" s="1630"/>
      <c r="K42" s="1051" t="s">
        <v>490</v>
      </c>
      <c r="L42" s="1020" t="s">
        <v>490</v>
      </c>
    </row>
    <row r="43" spans="1:12" x14ac:dyDescent="0.25">
      <c r="A43" s="1160"/>
      <c r="B43" s="885"/>
      <c r="C43" s="922"/>
      <c r="D43" s="885"/>
      <c r="E43" s="885"/>
      <c r="F43" s="885"/>
      <c r="G43" s="880"/>
      <c r="H43" s="1686"/>
      <c r="I43" s="1686"/>
      <c r="J43" s="1053"/>
      <c r="K43" s="963"/>
      <c r="L43" s="1162">
        <f t="shared" ref="L43:L44" si="1">H43*K43</f>
        <v>0</v>
      </c>
    </row>
    <row r="44" spans="1:12" x14ac:dyDescent="0.25">
      <c r="A44" s="1055"/>
      <c r="B44" s="922"/>
      <c r="C44" s="922"/>
      <c r="D44" s="1029"/>
      <c r="E44" s="1029"/>
      <c r="F44" s="1029"/>
      <c r="G44" s="1056"/>
      <c r="H44" s="1660"/>
      <c r="I44" s="1660"/>
      <c r="J44" s="1053"/>
      <c r="K44" s="963"/>
      <c r="L44" s="1163">
        <f t="shared" si="1"/>
        <v>0</v>
      </c>
    </row>
    <row r="45" spans="1:12" ht="9.4499999999999993" customHeight="1" x14ac:dyDescent="0.25">
      <c r="A45" s="1637" t="s">
        <v>491</v>
      </c>
      <c r="B45" s="1637"/>
      <c r="C45" s="1637"/>
      <c r="D45" s="1637"/>
      <c r="E45" s="1637"/>
      <c r="F45" s="1637"/>
      <c r="G45" s="1637"/>
      <c r="H45" s="1637"/>
      <c r="I45" s="1637"/>
      <c r="J45" s="1637"/>
      <c r="K45" s="1637"/>
      <c r="L45" s="1049">
        <f>ROUND(SUM(L43:L44),4)</f>
        <v>0</v>
      </c>
    </row>
    <row r="46" spans="1:12" x14ac:dyDescent="0.25">
      <c r="A46" s="875"/>
      <c r="B46" s="875"/>
      <c r="C46" s="875"/>
      <c r="D46" s="875"/>
      <c r="E46" s="875"/>
      <c r="F46" s="875"/>
      <c r="G46" s="875"/>
      <c r="H46" s="875"/>
      <c r="I46" s="875"/>
      <c r="J46" s="855"/>
      <c r="K46" s="1057"/>
      <c r="L46" s="1058"/>
    </row>
    <row r="47" spans="1:12" ht="14.7" customHeight="1" x14ac:dyDescent="0.25">
      <c r="A47" s="1629" t="s">
        <v>492</v>
      </c>
      <c r="B47" s="1629"/>
      <c r="C47" s="1629"/>
      <c r="D47" s="1629"/>
      <c r="E47" s="1629"/>
      <c r="F47" s="1629"/>
      <c r="G47" s="1631" t="s">
        <v>493</v>
      </c>
      <c r="H47" s="1630" t="s">
        <v>494</v>
      </c>
      <c r="I47" s="1630"/>
      <c r="J47" s="1630"/>
      <c r="K47" s="1630"/>
      <c r="L47" s="1630" t="s">
        <v>495</v>
      </c>
    </row>
    <row r="48" spans="1:12" x14ac:dyDescent="0.25">
      <c r="A48" s="1629"/>
      <c r="B48" s="1629"/>
      <c r="C48" s="1629"/>
      <c r="D48" s="1629"/>
      <c r="E48" s="1629"/>
      <c r="F48" s="1629"/>
      <c r="G48" s="1631"/>
      <c r="H48" s="887" t="s">
        <v>110</v>
      </c>
      <c r="I48" s="1039" t="s">
        <v>302</v>
      </c>
      <c r="J48" s="1020" t="s">
        <v>305</v>
      </c>
      <c r="K48" s="1051" t="s">
        <v>307</v>
      </c>
      <c r="L48" s="1630"/>
    </row>
    <row r="49" spans="1:12" x14ac:dyDescent="0.25">
      <c r="A49" s="1629"/>
      <c r="B49" s="1629"/>
      <c r="C49" s="1629"/>
      <c r="D49" s="1629"/>
      <c r="E49" s="1629"/>
      <c r="F49" s="1629"/>
      <c r="G49" s="1631"/>
      <c r="H49" s="886" t="s">
        <v>496</v>
      </c>
      <c r="I49" s="1059"/>
      <c r="J49" s="1059"/>
      <c r="K49" s="1059"/>
      <c r="L49" s="1630"/>
    </row>
    <row r="50" spans="1:12" x14ac:dyDescent="0.25">
      <c r="A50" s="1652"/>
      <c r="B50" s="1653"/>
      <c r="C50" s="1654"/>
      <c r="D50" s="1655"/>
      <c r="E50" s="1655"/>
      <c r="F50" s="1656"/>
      <c r="G50" s="1657">
        <f>ROUND(H43/1000,5)</f>
        <v>0</v>
      </c>
      <c r="H50" s="1060" t="s">
        <v>497</v>
      </c>
      <c r="I50" s="1061"/>
      <c r="J50" s="1061"/>
      <c r="K50" s="1061"/>
      <c r="L50" s="1651">
        <f>G50*($I$49*I51+$J$49*J51+$K$49*K51)</f>
        <v>0</v>
      </c>
    </row>
    <row r="51" spans="1:12" x14ac:dyDescent="0.25">
      <c r="A51" s="1652"/>
      <c r="B51" s="1653"/>
      <c r="C51" s="1654"/>
      <c r="D51" s="1655"/>
      <c r="E51" s="1655"/>
      <c r="F51" s="1656"/>
      <c r="G51" s="1657"/>
      <c r="H51" s="1062" t="s">
        <v>498</v>
      </c>
      <c r="I51" s="1063"/>
      <c r="J51" s="1063"/>
      <c r="K51" s="1063"/>
      <c r="L51" s="1651"/>
    </row>
    <row r="52" spans="1:12" x14ac:dyDescent="0.25">
      <c r="A52" s="984"/>
      <c r="B52" s="901"/>
      <c r="C52" s="922"/>
      <c r="D52" s="1093"/>
      <c r="E52" s="1093"/>
      <c r="F52" s="1072"/>
      <c r="G52" s="1052"/>
      <c r="H52" s="1148"/>
      <c r="I52" s="1149"/>
      <c r="J52" s="904"/>
      <c r="K52" s="1024"/>
      <c r="L52" s="929"/>
    </row>
    <row r="53" spans="1:12" x14ac:dyDescent="0.25">
      <c r="A53" s="1055"/>
      <c r="B53" s="922"/>
      <c r="C53" s="922"/>
      <c r="D53" s="1029"/>
      <c r="E53" s="1029"/>
      <c r="F53" s="1029"/>
      <c r="G53" s="1064"/>
      <c r="H53" s="1164"/>
      <c r="I53" s="1164"/>
      <c r="J53" s="1066"/>
      <c r="K53" s="985"/>
      <c r="L53" s="1067">
        <f>G53*H53*K53</f>
        <v>0</v>
      </c>
    </row>
    <row r="54" spans="1:12" x14ac:dyDescent="0.25">
      <c r="A54" s="1637" t="s">
        <v>499</v>
      </c>
      <c r="B54" s="1637"/>
      <c r="C54" s="1637"/>
      <c r="D54" s="1637"/>
      <c r="E54" s="1637"/>
      <c r="F54" s="1637"/>
      <c r="G54" s="1637"/>
      <c r="H54" s="1637"/>
      <c r="I54" s="1637"/>
      <c r="J54" s="1637"/>
      <c r="K54" s="1637"/>
      <c r="L54" s="968">
        <f>ROUND(SUM(L50:L53),4)</f>
        <v>0</v>
      </c>
    </row>
    <row r="55" spans="1:12" x14ac:dyDescent="0.25">
      <c r="A55" s="990"/>
      <c r="B55" s="990"/>
      <c r="C55" s="990"/>
      <c r="D55" s="990"/>
      <c r="E55" s="990"/>
      <c r="F55" s="990"/>
      <c r="G55" s="875"/>
      <c r="H55" s="991"/>
      <c r="I55" s="991"/>
      <c r="J55" s="992"/>
      <c r="K55" s="993"/>
      <c r="L55" s="994"/>
    </row>
    <row r="56" spans="1:12" x14ac:dyDescent="0.25">
      <c r="A56" s="1637" t="s">
        <v>448</v>
      </c>
      <c r="B56" s="1637"/>
      <c r="C56" s="1637"/>
      <c r="D56" s="1637"/>
      <c r="E56" s="1637"/>
      <c r="F56" s="1637"/>
      <c r="G56" s="1637"/>
      <c r="H56" s="1637"/>
      <c r="I56" s="1637"/>
      <c r="J56" s="1637"/>
      <c r="K56" s="1637"/>
      <c r="L56" s="968">
        <f>ROUND(L39+L45+L54,4)</f>
        <v>0.2034</v>
      </c>
    </row>
    <row r="57" spans="1:12" x14ac:dyDescent="0.25">
      <c r="A57" s="1638" t="s">
        <v>449</v>
      </c>
      <c r="B57" s="1638"/>
      <c r="C57" s="1638"/>
      <c r="D57" s="1638"/>
      <c r="E57" s="1638"/>
      <c r="F57" s="1638"/>
      <c r="G57" s="1638"/>
      <c r="H57" s="1638"/>
      <c r="I57" s="1638"/>
      <c r="J57" s="1638"/>
      <c r="K57" s="996">
        <f>[1]LDI!I34</f>
        <v>0.25569999999999998</v>
      </c>
      <c r="L57" s="997">
        <f>ROUND(L56*K57,4)</f>
        <v>5.1999999999999998E-2</v>
      </c>
    </row>
    <row r="58" spans="1:12" x14ac:dyDescent="0.25">
      <c r="A58" s="1639" t="s">
        <v>450</v>
      </c>
      <c r="B58" s="1639"/>
      <c r="C58" s="1639"/>
      <c r="D58" s="1639"/>
      <c r="E58" s="1639"/>
      <c r="F58" s="1639"/>
      <c r="G58" s="1639"/>
      <c r="H58" s="1639"/>
      <c r="I58" s="1639"/>
      <c r="J58" s="1639"/>
      <c r="K58" s="1639"/>
      <c r="L58" s="1069">
        <f>ROUND(L56+L57,2)</f>
        <v>0.26</v>
      </c>
    </row>
    <row r="59" spans="1:12" ht="21.75" customHeight="1" x14ac:dyDescent="0.25">
      <c r="A59" s="999"/>
      <c r="B59" s="999"/>
      <c r="C59" s="999"/>
      <c r="D59" s="999"/>
      <c r="E59" s="999"/>
      <c r="F59" s="999"/>
      <c r="G59" s="999"/>
      <c r="H59" s="999"/>
      <c r="I59" s="999"/>
      <c r="J59" s="999"/>
      <c r="K59" s="999"/>
      <c r="L59" s="999"/>
    </row>
    <row r="60" spans="1:12" ht="20.25" customHeight="1" x14ac:dyDescent="0.25">
      <c r="A60" s="1000" t="s">
        <v>451</v>
      </c>
      <c r="B60" s="1001"/>
      <c r="C60" s="1687" t="s">
        <v>548</v>
      </c>
      <c r="D60" s="1687"/>
      <c r="E60" s="1687"/>
      <c r="F60" s="1687"/>
      <c r="G60" s="1687"/>
      <c r="H60" s="1687"/>
      <c r="I60" s="1687"/>
      <c r="J60" s="1687"/>
      <c r="K60" s="1687"/>
      <c r="L60" s="1687"/>
    </row>
    <row r="61" spans="1:12" ht="14.7" customHeight="1" x14ac:dyDescent="0.25">
      <c r="A61" s="1083"/>
      <c r="B61" s="1084"/>
      <c r="C61" s="1680" t="s">
        <v>507</v>
      </c>
      <c r="D61" s="1680"/>
      <c r="E61" s="1680"/>
      <c r="F61" s="1680"/>
      <c r="G61" s="1680"/>
      <c r="H61" s="1680"/>
      <c r="I61" s="1680"/>
      <c r="J61" s="1680"/>
      <c r="K61" s="1680"/>
      <c r="L61" s="1680"/>
    </row>
    <row r="62" spans="1:12" x14ac:dyDescent="0.25">
      <c r="A62" s="1165"/>
      <c r="B62" s="1166"/>
      <c r="C62" s="1166"/>
      <c r="D62" s="1166"/>
      <c r="E62" s="1166"/>
      <c r="F62" s="1166"/>
      <c r="G62" s="1166"/>
      <c r="H62" s="1166"/>
      <c r="I62" s="1166"/>
      <c r="J62" s="1166"/>
      <c r="K62" s="1166"/>
      <c r="L62" s="1167"/>
    </row>
    <row r="63" spans="1:12" x14ac:dyDescent="0.25">
      <c r="A63" s="1168"/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5"/>
    </row>
    <row r="67" ht="7.5" customHeight="1" x14ac:dyDescent="0.25"/>
  </sheetData>
  <sheetProtection selectLockedCells="1" selectUnlockedCells="1"/>
  <mergeCells count="47">
    <mergeCell ref="C61:L61"/>
    <mergeCell ref="L50:L51"/>
    <mergeCell ref="A54:K54"/>
    <mergeCell ref="A56:K56"/>
    <mergeCell ref="A57:J57"/>
    <mergeCell ref="A58:K58"/>
    <mergeCell ref="C60:L60"/>
    <mergeCell ref="A47:F49"/>
    <mergeCell ref="G47:G49"/>
    <mergeCell ref="H47:K47"/>
    <mergeCell ref="L47:L49"/>
    <mergeCell ref="A50:A51"/>
    <mergeCell ref="B50:B51"/>
    <mergeCell ref="C50:C51"/>
    <mergeCell ref="D50:E51"/>
    <mergeCell ref="F50:F51"/>
    <mergeCell ref="G50:G51"/>
    <mergeCell ref="A45:K45"/>
    <mergeCell ref="A26:I27"/>
    <mergeCell ref="J26:J27"/>
    <mergeCell ref="K26:K27"/>
    <mergeCell ref="D28:I28"/>
    <mergeCell ref="A39:H39"/>
    <mergeCell ref="I39:K39"/>
    <mergeCell ref="A41:G42"/>
    <mergeCell ref="H41:I42"/>
    <mergeCell ref="J41:J42"/>
    <mergeCell ref="H43:I43"/>
    <mergeCell ref="H44:I44"/>
    <mergeCell ref="A24:K24"/>
    <mergeCell ref="A7:K7"/>
    <mergeCell ref="L7:L8"/>
    <mergeCell ref="A10:L10"/>
    <mergeCell ref="A12:D12"/>
    <mergeCell ref="A15:L16"/>
    <mergeCell ref="E18:J18"/>
    <mergeCell ref="A20:F21"/>
    <mergeCell ref="G20:G21"/>
    <mergeCell ref="H20:I20"/>
    <mergeCell ref="J20:K20"/>
    <mergeCell ref="D22:F22"/>
    <mergeCell ref="A6:K6"/>
    <mergeCell ref="A1:L1"/>
    <mergeCell ref="A2:L2"/>
    <mergeCell ref="A3:L3"/>
    <mergeCell ref="A4:L4"/>
    <mergeCell ref="A5:K5"/>
  </mergeCells>
  <dataValidations count="1">
    <dataValidation allowBlank="1" showInputMessage="1" showErrorMessage="1" prompt="Clique duas vezes sobre o número do item para ser direcionado à Planilha Orçamentária." sqref="D18" xr:uid="{00000000-0002-0000-0D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67"/>
  <sheetViews>
    <sheetView view="pageBreakPreview" zoomScale="90" zoomScaleNormal="80" zoomScaleSheetLayoutView="90" workbookViewId="0">
      <selection activeCell="A12" sqref="A12:L13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11" width="8.77734375" style="845" customWidth="1"/>
    <col min="12" max="12" width="10.6640625" style="845" customWidth="1"/>
    <col min="13" max="256" width="11.44140625" customWidth="1"/>
  </cols>
  <sheetData>
    <row r="1" spans="1:12" ht="15.6" x14ac:dyDescent="0.3">
      <c r="A1" s="1617" t="str">
        <f>'[1]Planilha orçamentária'!E4</f>
        <v>PROJETO BÁSICO DE ENGENHARIA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</row>
    <row r="2" spans="1:12" ht="8.25" customHeight="1" x14ac:dyDescent="0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</row>
    <row r="3" spans="1:12" ht="13.8" x14ac:dyDescent="0.25">
      <c r="A3" s="1826" t="str">
        <f>'4.2'!A5:K5</f>
        <v>J J BORGES DE OLIVEIRA EIRELI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846" t="s">
        <v>411</v>
      </c>
    </row>
    <row r="4" spans="1:12" x14ac:dyDescent="0.25">
      <c r="A4" s="1825" t="str">
        <f>'4.2'!A6</f>
        <v>20.129.307/0001-02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847"/>
    </row>
    <row r="5" spans="1:12" ht="14.7" customHeight="1" x14ac:dyDescent="0.25">
      <c r="A5" s="1619"/>
      <c r="B5" s="1619"/>
      <c r="C5" s="1619"/>
      <c r="D5" s="1619"/>
      <c r="E5" s="1619"/>
      <c r="F5" s="1619"/>
      <c r="G5" s="1619"/>
      <c r="H5" s="1619"/>
      <c r="I5" s="1619"/>
      <c r="J5" s="1619"/>
      <c r="K5" s="1619"/>
      <c r="L5" s="1642" t="s">
        <v>549</v>
      </c>
    </row>
    <row r="6" spans="1:12" x14ac:dyDescent="0.25">
      <c r="A6" s="848"/>
      <c r="B6" s="849"/>
      <c r="C6" s="850"/>
      <c r="D6" s="851"/>
      <c r="E6" s="852"/>
      <c r="F6" s="850"/>
      <c r="G6" s="850"/>
      <c r="H6" s="850"/>
      <c r="I6" s="850"/>
      <c r="J6" s="850"/>
      <c r="K6" s="853"/>
      <c r="L6" s="1642"/>
    </row>
    <row r="7" spans="1:12" x14ac:dyDescent="0.25">
      <c r="A7" s="855"/>
      <c r="B7" s="855"/>
      <c r="C7" s="856"/>
      <c r="D7" s="857"/>
      <c r="E7" s="857"/>
      <c r="F7" s="858"/>
      <c r="G7" s="858"/>
      <c r="H7" s="858"/>
      <c r="I7" s="858"/>
      <c r="J7" s="858"/>
      <c r="K7" s="858"/>
      <c r="L7" s="859"/>
    </row>
    <row r="8" spans="1:12" x14ac:dyDescent="0.25">
      <c r="A8" s="1620"/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</row>
    <row r="9" spans="1:12" ht="12.75" customHeight="1" x14ac:dyDescent="0.25">
      <c r="A9" s="1616" t="s">
        <v>413</v>
      </c>
      <c r="B9" s="1616"/>
      <c r="C9" s="1616"/>
      <c r="D9" s="1616"/>
      <c r="E9" s="860" t="str">
        <f>'[1]Planilha orçamentária'!E9</f>
        <v>Construção / Recuperação e complementação de estradas vicinais</v>
      </c>
      <c r="F9" s="861"/>
      <c r="G9" s="861"/>
      <c r="H9" s="861"/>
      <c r="I9" s="861"/>
      <c r="J9" s="861"/>
      <c r="K9" s="861"/>
      <c r="L9" s="862"/>
    </row>
    <row r="10" spans="1:12" x14ac:dyDescent="0.25">
      <c r="A10" s="863"/>
      <c r="B10" s="851"/>
      <c r="C10" s="864"/>
      <c r="D10" s="851"/>
      <c r="E10" s="851"/>
      <c r="F10" s="850"/>
      <c r="G10" s="850"/>
      <c r="H10" s="850"/>
      <c r="I10" s="850"/>
      <c r="J10" s="850"/>
      <c r="K10" s="850"/>
      <c r="L10" s="865"/>
    </row>
    <row r="11" spans="1:12" x14ac:dyDescent="0.25">
      <c r="A11" s="858"/>
      <c r="B11" s="858"/>
      <c r="C11" s="858"/>
      <c r="D11" s="858"/>
      <c r="E11" s="858"/>
      <c r="F11" s="858"/>
      <c r="G11" s="858"/>
      <c r="H11" s="858"/>
      <c r="I11" s="858"/>
      <c r="J11" s="858"/>
      <c r="K11" s="858"/>
      <c r="L11" s="859"/>
    </row>
    <row r="12" spans="1:12" x14ac:dyDescent="0.25">
      <c r="A12" s="1621" t="s">
        <v>414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</row>
    <row r="13" spans="1:12" x14ac:dyDescent="0.25">
      <c r="A13" s="1621"/>
      <c r="B13" s="1621"/>
      <c r="C13" s="1621"/>
      <c r="D13" s="1621"/>
      <c r="E13" s="1621"/>
      <c r="F13" s="1621"/>
      <c r="G13" s="1621"/>
      <c r="H13" s="1621"/>
      <c r="I13" s="1621"/>
      <c r="J13" s="1621"/>
      <c r="K13" s="1621"/>
      <c r="L13" s="1621"/>
    </row>
    <row r="14" spans="1:12" ht="9.4499999999999993" customHeight="1" x14ac:dyDescent="0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</row>
    <row r="15" spans="1:12" ht="27" customHeight="1" x14ac:dyDescent="0.25">
      <c r="A15" s="867" t="s">
        <v>415</v>
      </c>
      <c r="B15" s="868"/>
      <c r="C15" s="868"/>
      <c r="D15" s="869" t="str">
        <f>'[1]Planilha orçamentária'!B54</f>
        <v>5.1</v>
      </c>
      <c r="E15" s="1643" t="s">
        <v>550</v>
      </c>
      <c r="F15" s="1643"/>
      <c r="G15" s="1643"/>
      <c r="H15" s="1643"/>
      <c r="I15" s="1643"/>
      <c r="J15" s="1643"/>
      <c r="K15" s="871" t="s">
        <v>417</v>
      </c>
      <c r="L15" s="872" t="s">
        <v>551</v>
      </c>
    </row>
    <row r="16" spans="1:12" x14ac:dyDescent="0.25">
      <c r="A16" s="855"/>
      <c r="B16" s="855"/>
      <c r="C16" s="855"/>
      <c r="D16" s="855"/>
      <c r="E16" s="855"/>
      <c r="F16" s="855"/>
      <c r="G16" s="855"/>
      <c r="H16" s="855"/>
      <c r="I16" s="855"/>
      <c r="J16" s="855"/>
      <c r="K16" s="855"/>
      <c r="L16" s="855"/>
    </row>
    <row r="17" spans="1:12" x14ac:dyDescent="0.25">
      <c r="A17" s="1629" t="s">
        <v>426</v>
      </c>
      <c r="B17" s="1629"/>
      <c r="C17" s="1629"/>
      <c r="D17" s="1629"/>
      <c r="E17" s="1629"/>
      <c r="F17" s="1629"/>
      <c r="G17" s="1630" t="s">
        <v>164</v>
      </c>
      <c r="H17" s="1630" t="s">
        <v>284</v>
      </c>
      <c r="I17" s="1630"/>
      <c r="J17" s="1645" t="s">
        <v>471</v>
      </c>
      <c r="K17" s="1645"/>
      <c r="L17" s="1018" t="s">
        <v>472</v>
      </c>
    </row>
    <row r="18" spans="1:12" x14ac:dyDescent="0.25">
      <c r="A18" s="1629"/>
      <c r="B18" s="1629"/>
      <c r="C18" s="1629"/>
      <c r="D18" s="1629"/>
      <c r="E18" s="1629"/>
      <c r="F18" s="1629"/>
      <c r="G18" s="1630"/>
      <c r="H18" s="886" t="s">
        <v>473</v>
      </c>
      <c r="I18" s="1019" t="s">
        <v>474</v>
      </c>
      <c r="J18" s="886" t="s">
        <v>473</v>
      </c>
      <c r="K18" s="1019" t="s">
        <v>474</v>
      </c>
      <c r="L18" s="1020" t="s">
        <v>475</v>
      </c>
    </row>
    <row r="19" spans="1:12" ht="15.75" customHeight="1" x14ac:dyDescent="0.25">
      <c r="A19" s="1021" t="str">
        <f>'[1]Composições - Equipamentos'!A35</f>
        <v>DNIT –</v>
      </c>
      <c r="B19" s="1026" t="str">
        <f>'[1]Composições - Equipamentos'!B35</f>
        <v>E9540</v>
      </c>
      <c r="C19" s="922" t="s">
        <v>434</v>
      </c>
      <c r="D19" s="1683" t="str">
        <f>'[1]Composições - Equipamentos'!C35</f>
        <v>Trator de esteiras com lâmina - 112 kW (D6N - Caterpillar)</v>
      </c>
      <c r="E19" s="1683"/>
      <c r="F19" s="1683"/>
      <c r="G19" s="1161">
        <v>1</v>
      </c>
      <c r="H19" s="1024">
        <v>1</v>
      </c>
      <c r="I19" s="904">
        <v>0</v>
      </c>
      <c r="J19" s="929">
        <f>'[1]Composições - Equipamentos'!S35</f>
        <v>199.35740000000001</v>
      </c>
      <c r="K19" s="929">
        <f>'[1]Composições - Equipamentos'!T35</f>
        <v>80.469300000000004</v>
      </c>
      <c r="L19" s="929">
        <f t="shared" ref="L19:L20" si="0">(G19*H19*J19)+(G19*I19*K19)</f>
        <v>199.35740000000001</v>
      </c>
    </row>
    <row r="20" spans="1:12" x14ac:dyDescent="0.25">
      <c r="A20" s="984"/>
      <c r="B20" s="1026"/>
      <c r="C20" s="922"/>
      <c r="D20" s="1685"/>
      <c r="E20" s="1685"/>
      <c r="F20" s="1685"/>
      <c r="G20" s="1052"/>
      <c r="H20" s="1024"/>
      <c r="I20" s="904"/>
      <c r="J20" s="1025"/>
      <c r="K20" s="1025"/>
      <c r="L20" s="929">
        <f t="shared" si="0"/>
        <v>0</v>
      </c>
    </row>
    <row r="21" spans="1:12" x14ac:dyDescent="0.25">
      <c r="A21" s="1094"/>
      <c r="B21" s="885"/>
      <c r="C21" s="922"/>
      <c r="D21" s="885"/>
      <c r="E21" s="885"/>
      <c r="F21" s="885"/>
      <c r="G21" s="1081"/>
      <c r="H21" s="1024"/>
      <c r="I21" s="904"/>
      <c r="J21" s="1032"/>
      <c r="K21" s="1027"/>
      <c r="L21" s="929"/>
    </row>
    <row r="22" spans="1:12" x14ac:dyDescent="0.25">
      <c r="A22" s="1646" t="s">
        <v>476</v>
      </c>
      <c r="B22" s="1646"/>
      <c r="C22" s="1646"/>
      <c r="D22" s="1646"/>
      <c r="E22" s="1646"/>
      <c r="F22" s="1646"/>
      <c r="G22" s="1646"/>
      <c r="H22" s="1646"/>
      <c r="I22" s="1646"/>
      <c r="J22" s="1646"/>
      <c r="K22" s="1646"/>
      <c r="L22" s="976">
        <f>ROUND(SUM(L19:L21),4)</f>
        <v>199.35740000000001</v>
      </c>
    </row>
    <row r="23" spans="1:12" x14ac:dyDescent="0.25">
      <c r="A23" s="873"/>
      <c r="B23" s="873"/>
      <c r="C23" s="873"/>
      <c r="D23" s="873"/>
      <c r="E23" s="873"/>
      <c r="F23" s="873"/>
      <c r="G23" s="873"/>
      <c r="H23" s="966"/>
      <c r="I23" s="966"/>
      <c r="J23" s="966"/>
      <c r="K23" s="966"/>
      <c r="L23" s="966"/>
    </row>
    <row r="24" spans="1:12" ht="14.7" customHeight="1" x14ac:dyDescent="0.25">
      <c r="A24" s="1629" t="s">
        <v>439</v>
      </c>
      <c r="B24" s="1629"/>
      <c r="C24" s="1629"/>
      <c r="D24" s="1629"/>
      <c r="E24" s="1629"/>
      <c r="F24" s="1629"/>
      <c r="G24" s="1629"/>
      <c r="H24" s="1629"/>
      <c r="I24" s="1629"/>
      <c r="J24" s="1630" t="s">
        <v>164</v>
      </c>
      <c r="K24" s="1631" t="s">
        <v>477</v>
      </c>
      <c r="L24" s="1018" t="s">
        <v>441</v>
      </c>
    </row>
    <row r="25" spans="1:12" x14ac:dyDescent="0.25">
      <c r="A25" s="1629"/>
      <c r="B25" s="1629"/>
      <c r="C25" s="1629"/>
      <c r="D25" s="1629"/>
      <c r="E25" s="1629"/>
      <c r="F25" s="1629"/>
      <c r="G25" s="1629"/>
      <c r="H25" s="1629"/>
      <c r="I25" s="1629"/>
      <c r="J25" s="1630"/>
      <c r="K25" s="1631"/>
      <c r="L25" s="1020" t="s">
        <v>475</v>
      </c>
    </row>
    <row r="26" spans="1:12" x14ac:dyDescent="0.25">
      <c r="A26" s="984" t="str">
        <f>'[1]Atualização de custos unitarios'!A84</f>
        <v>DNIT –</v>
      </c>
      <c r="B26" s="1087" t="str">
        <f>'[1]Atualização de custos unitarios'!B84</f>
        <v>P9824</v>
      </c>
      <c r="C26" s="922" t="s">
        <v>434</v>
      </c>
      <c r="D26" s="1685" t="str">
        <f>'[1]Atualização de custos unitarios'!C84</f>
        <v>Servente</v>
      </c>
      <c r="E26" s="1685"/>
      <c r="F26" s="1685"/>
      <c r="G26" s="1685"/>
      <c r="H26" s="1685"/>
      <c r="I26" s="1685"/>
      <c r="J26" s="1023">
        <v>1</v>
      </c>
      <c r="K26" s="963">
        <f>'1.1'!G100</f>
        <v>14.981199999999999</v>
      </c>
      <c r="L26" s="1158">
        <f t="shared" ref="L26:L28" si="1">J26*K26</f>
        <v>14.981199999999999</v>
      </c>
    </row>
    <row r="27" spans="1:12" x14ac:dyDescent="0.25">
      <c r="A27" s="1094"/>
      <c r="B27" s="885"/>
      <c r="C27" s="922"/>
      <c r="D27" s="885"/>
      <c r="E27" s="885"/>
      <c r="F27" s="885"/>
      <c r="G27" s="855"/>
      <c r="H27" s="922"/>
      <c r="I27" s="1035"/>
      <c r="J27" s="1023"/>
      <c r="K27" s="963"/>
      <c r="L27" s="1158">
        <f t="shared" si="1"/>
        <v>0</v>
      </c>
    </row>
    <row r="28" spans="1:12" ht="9.4499999999999993" customHeight="1" x14ac:dyDescent="0.25">
      <c r="A28" s="1028"/>
      <c r="B28" s="1029"/>
      <c r="C28" s="1029"/>
      <c r="D28" s="1029"/>
      <c r="E28" s="1029"/>
      <c r="F28" s="1029"/>
      <c r="G28" s="849"/>
      <c r="H28" s="1019"/>
      <c r="I28" s="1039"/>
      <c r="J28" s="1031"/>
      <c r="K28" s="963"/>
      <c r="L28" s="1158">
        <f t="shared" si="1"/>
        <v>0</v>
      </c>
    </row>
    <row r="29" spans="1:12" x14ac:dyDescent="0.25">
      <c r="A29" s="1646" t="s">
        <v>478</v>
      </c>
      <c r="B29" s="1646"/>
      <c r="C29" s="1646"/>
      <c r="D29" s="1646"/>
      <c r="E29" s="1646"/>
      <c r="F29" s="1646"/>
      <c r="G29" s="1646"/>
      <c r="H29" s="1646"/>
      <c r="I29" s="1646"/>
      <c r="J29" s="1646"/>
      <c r="K29" s="1646"/>
      <c r="L29" s="976">
        <f>ROUND(SUM(L26:L28),4)</f>
        <v>14.981199999999999</v>
      </c>
    </row>
    <row r="30" spans="1:12" x14ac:dyDescent="0.25">
      <c r="A30" s="873"/>
      <c r="B30" s="873"/>
      <c r="C30" s="873"/>
      <c r="D30" s="873"/>
      <c r="E30" s="873"/>
      <c r="F30" s="873"/>
      <c r="G30" s="873"/>
      <c r="H30" s="873"/>
      <c r="I30" s="873"/>
      <c r="J30" s="966"/>
      <c r="K30" s="966"/>
      <c r="L30" s="966"/>
    </row>
    <row r="31" spans="1:12" x14ac:dyDescent="0.25">
      <c r="A31" s="873"/>
      <c r="B31" s="873"/>
      <c r="C31" s="873"/>
      <c r="D31" s="873"/>
      <c r="E31" s="873"/>
      <c r="F31" s="873"/>
      <c r="G31" s="873"/>
      <c r="H31" s="873"/>
      <c r="I31" s="873"/>
      <c r="J31" s="966"/>
      <c r="K31" s="1041" t="s">
        <v>479</v>
      </c>
      <c r="L31" s="1042">
        <f>L22+L29</f>
        <v>214.33860000000001</v>
      </c>
    </row>
    <row r="32" spans="1:12" x14ac:dyDescent="0.25">
      <c r="A32" s="1043" t="s">
        <v>480</v>
      </c>
      <c r="B32" s="873"/>
      <c r="C32" s="873"/>
      <c r="D32" s="873"/>
      <c r="E32" s="1169" t="s">
        <v>552</v>
      </c>
      <c r="F32" s="1044">
        <f>286.85*0.6</f>
        <v>172.11</v>
      </c>
      <c r="G32" s="1045" t="str">
        <f>L15</f>
        <v>m³</v>
      </c>
      <c r="H32" s="1043"/>
      <c r="I32" s="873"/>
      <c r="J32" s="1046"/>
      <c r="K32" s="1047" t="s">
        <v>481</v>
      </c>
      <c r="L32" s="976">
        <f>L31/F32</f>
        <v>1.2453582011504269</v>
      </c>
    </row>
    <row r="33" spans="1:12" x14ac:dyDescent="0.25">
      <c r="A33" s="1043"/>
      <c r="B33" s="873" t="s">
        <v>482</v>
      </c>
      <c r="C33" s="873"/>
      <c r="D33" s="873"/>
      <c r="E33" s="873"/>
      <c r="F33" s="1044">
        <f>ROUND([1]FIC!$F$11*[1]FIC!$H$21*[1]FIC!$H$34*[1]FIC!$L$6,5)</f>
        <v>4.8980000000000003E-2</v>
      </c>
      <c r="G33" s="1045"/>
      <c r="H33" s="1043"/>
      <c r="I33" s="873"/>
      <c r="J33" s="1046"/>
      <c r="K33" s="1041" t="s">
        <v>483</v>
      </c>
      <c r="L33" s="976">
        <f>L32*F33</f>
        <v>6.0997644692347912E-2</v>
      </c>
    </row>
    <row r="34" spans="1:12" x14ac:dyDescent="0.25">
      <c r="A34" s="1043"/>
      <c r="B34" s="873" t="s">
        <v>484</v>
      </c>
      <c r="C34" s="873"/>
      <c r="D34" s="873"/>
      <c r="E34" s="873"/>
      <c r="F34" s="1159"/>
      <c r="G34" s="1045"/>
      <c r="H34" s="1046"/>
      <c r="I34" s="1048"/>
      <c r="J34" s="966"/>
      <c r="K34" s="1041" t="s">
        <v>485</v>
      </c>
      <c r="L34" s="976">
        <f>L32*F34</f>
        <v>0</v>
      </c>
    </row>
    <row r="35" spans="1:12" x14ac:dyDescent="0.25">
      <c r="A35" s="873"/>
      <c r="B35" s="873"/>
      <c r="C35" s="873"/>
      <c r="D35" s="873"/>
      <c r="E35" s="873"/>
      <c r="F35" s="873"/>
      <c r="G35" s="873"/>
      <c r="H35" s="873"/>
      <c r="I35" s="873"/>
      <c r="J35" s="966"/>
      <c r="K35" s="966"/>
      <c r="L35" s="1040"/>
    </row>
    <row r="36" spans="1:12" x14ac:dyDescent="0.25">
      <c r="A36" s="1629" t="s">
        <v>486</v>
      </c>
      <c r="B36" s="1629"/>
      <c r="C36" s="1629"/>
      <c r="D36" s="1629"/>
      <c r="E36" s="1629"/>
      <c r="F36" s="1629"/>
      <c r="G36" s="1629"/>
      <c r="H36" s="1629"/>
      <c r="I36" s="1639" t="s">
        <v>487</v>
      </c>
      <c r="J36" s="1639"/>
      <c r="K36" s="1639"/>
      <c r="L36" s="1049">
        <f>ROUND(SUM(L32:L35),4)</f>
        <v>1.3064</v>
      </c>
    </row>
    <row r="37" spans="1:12" x14ac:dyDescent="0.25">
      <c r="A37" s="855"/>
      <c r="B37" s="855"/>
      <c r="C37" s="855"/>
      <c r="D37" s="855"/>
      <c r="E37" s="855"/>
      <c r="F37" s="855"/>
      <c r="G37" s="1050"/>
      <c r="H37" s="1050"/>
      <c r="I37" s="876"/>
      <c r="J37" s="876"/>
      <c r="K37" s="876"/>
      <c r="L37" s="855"/>
    </row>
    <row r="38" spans="1:12" x14ac:dyDescent="0.25">
      <c r="A38" s="1629" t="s">
        <v>488</v>
      </c>
      <c r="B38" s="1629"/>
      <c r="C38" s="1629"/>
      <c r="D38" s="1629"/>
      <c r="E38" s="1629"/>
      <c r="F38" s="1629"/>
      <c r="G38" s="1629"/>
      <c r="H38" s="1630" t="s">
        <v>164</v>
      </c>
      <c r="I38" s="1630"/>
      <c r="J38" s="1630" t="s">
        <v>163</v>
      </c>
      <c r="K38" s="1018" t="s">
        <v>489</v>
      </c>
      <c r="L38" s="1018" t="s">
        <v>472</v>
      </c>
    </row>
    <row r="39" spans="1:12" x14ac:dyDescent="0.25">
      <c r="A39" s="1629"/>
      <c r="B39" s="1629"/>
      <c r="C39" s="1629"/>
      <c r="D39" s="1629"/>
      <c r="E39" s="1629"/>
      <c r="F39" s="1629"/>
      <c r="G39" s="1629"/>
      <c r="H39" s="1630"/>
      <c r="I39" s="1630"/>
      <c r="J39" s="1630"/>
      <c r="K39" s="1051" t="s">
        <v>490</v>
      </c>
      <c r="L39" s="1020" t="s">
        <v>490</v>
      </c>
    </row>
    <row r="40" spans="1:12" x14ac:dyDescent="0.25">
      <c r="A40" s="1160"/>
      <c r="B40" s="885"/>
      <c r="C40" s="922"/>
      <c r="D40" s="885"/>
      <c r="E40" s="885"/>
      <c r="F40" s="885"/>
      <c r="G40" s="880"/>
      <c r="H40" s="1686"/>
      <c r="I40" s="1686"/>
      <c r="J40" s="1053"/>
      <c r="K40" s="963"/>
      <c r="L40" s="1162">
        <f t="shared" ref="L40:L41" si="2">H40*K40</f>
        <v>0</v>
      </c>
    </row>
    <row r="41" spans="1:12" x14ac:dyDescent="0.25">
      <c r="A41" s="1055"/>
      <c r="B41" s="922"/>
      <c r="C41" s="922"/>
      <c r="D41" s="1029"/>
      <c r="E41" s="1029"/>
      <c r="F41" s="1029"/>
      <c r="G41" s="1056"/>
      <c r="H41" s="1660"/>
      <c r="I41" s="1660"/>
      <c r="J41" s="1053"/>
      <c r="K41" s="963"/>
      <c r="L41" s="1163">
        <f t="shared" si="2"/>
        <v>0</v>
      </c>
    </row>
    <row r="42" spans="1:12" x14ac:dyDescent="0.25">
      <c r="A42" s="1637" t="s">
        <v>491</v>
      </c>
      <c r="B42" s="1637"/>
      <c r="C42" s="1637"/>
      <c r="D42" s="1637"/>
      <c r="E42" s="1637"/>
      <c r="F42" s="1637"/>
      <c r="G42" s="1637"/>
      <c r="H42" s="1637"/>
      <c r="I42" s="1637"/>
      <c r="J42" s="1637"/>
      <c r="K42" s="1637"/>
      <c r="L42" s="1049">
        <f>ROUND(SUM(L40:L41),4)</f>
        <v>0</v>
      </c>
    </row>
    <row r="43" spans="1:12" x14ac:dyDescent="0.25">
      <c r="A43" s="875"/>
      <c r="B43" s="875"/>
      <c r="C43" s="875"/>
      <c r="D43" s="875"/>
      <c r="E43" s="875"/>
      <c r="F43" s="875"/>
      <c r="G43" s="875"/>
      <c r="H43" s="875"/>
      <c r="I43" s="875"/>
      <c r="J43" s="855"/>
      <c r="K43" s="1057"/>
      <c r="L43" s="1058"/>
    </row>
    <row r="44" spans="1:12" ht="14.7" customHeight="1" x14ac:dyDescent="0.25">
      <c r="A44" s="1629" t="s">
        <v>492</v>
      </c>
      <c r="B44" s="1629"/>
      <c r="C44" s="1629"/>
      <c r="D44" s="1629"/>
      <c r="E44" s="1629"/>
      <c r="F44" s="1629"/>
      <c r="G44" s="1631" t="s">
        <v>493</v>
      </c>
      <c r="H44" s="1630" t="s">
        <v>494</v>
      </c>
      <c r="I44" s="1630"/>
      <c r="J44" s="1630"/>
      <c r="K44" s="1630"/>
      <c r="L44" s="1630" t="s">
        <v>495</v>
      </c>
    </row>
    <row r="45" spans="1:12" ht="9.4499999999999993" customHeight="1" x14ac:dyDescent="0.25">
      <c r="A45" s="1629"/>
      <c r="B45" s="1629"/>
      <c r="C45" s="1629"/>
      <c r="D45" s="1629"/>
      <c r="E45" s="1629"/>
      <c r="F45" s="1629"/>
      <c r="G45" s="1631"/>
      <c r="H45" s="887" t="s">
        <v>110</v>
      </c>
      <c r="I45" s="1039" t="s">
        <v>302</v>
      </c>
      <c r="J45" s="1020" t="s">
        <v>305</v>
      </c>
      <c r="K45" s="1051" t="s">
        <v>307</v>
      </c>
      <c r="L45" s="1630"/>
    </row>
    <row r="46" spans="1:12" x14ac:dyDescent="0.25">
      <c r="A46" s="1629"/>
      <c r="B46" s="1629"/>
      <c r="C46" s="1629"/>
      <c r="D46" s="1629"/>
      <c r="E46" s="1629"/>
      <c r="F46" s="1629"/>
      <c r="G46" s="1631"/>
      <c r="H46" s="886" t="s">
        <v>496</v>
      </c>
      <c r="I46" s="1059"/>
      <c r="J46" s="1059"/>
      <c r="K46" s="1059"/>
      <c r="L46" s="1630"/>
    </row>
    <row r="47" spans="1:12" x14ac:dyDescent="0.25">
      <c r="A47" s="1652"/>
      <c r="B47" s="1653"/>
      <c r="C47" s="1654"/>
      <c r="D47" s="1655"/>
      <c r="E47" s="1655"/>
      <c r="F47" s="1656"/>
      <c r="G47" s="1657">
        <f>ROUND(H40/1000,5)</f>
        <v>0</v>
      </c>
      <c r="H47" s="1060" t="s">
        <v>497</v>
      </c>
      <c r="I47" s="1061"/>
      <c r="J47" s="1061"/>
      <c r="K47" s="1061"/>
      <c r="L47" s="1651">
        <f>G47*($I$46*I48+$J$46*J48+$K$46*K48)</f>
        <v>0</v>
      </c>
    </row>
    <row r="48" spans="1:12" x14ac:dyDescent="0.25">
      <c r="A48" s="1652"/>
      <c r="B48" s="1653"/>
      <c r="C48" s="1654"/>
      <c r="D48" s="1655"/>
      <c r="E48" s="1655"/>
      <c r="F48" s="1656"/>
      <c r="G48" s="1657"/>
      <c r="H48" s="1062" t="s">
        <v>498</v>
      </c>
      <c r="I48" s="1063"/>
      <c r="J48" s="1063"/>
      <c r="K48" s="1063"/>
      <c r="L48" s="1651"/>
    </row>
    <row r="49" spans="1:12" x14ac:dyDescent="0.25">
      <c r="A49" s="1055"/>
      <c r="B49" s="922"/>
      <c r="C49" s="922"/>
      <c r="D49" s="1029"/>
      <c r="E49" s="1029"/>
      <c r="F49" s="1029"/>
      <c r="G49" s="1064"/>
      <c r="H49" s="1164"/>
      <c r="I49" s="1164"/>
      <c r="J49" s="1066"/>
      <c r="K49" s="985"/>
      <c r="L49" s="1067">
        <f>G49*H49*K49</f>
        <v>0</v>
      </c>
    </row>
    <row r="50" spans="1:12" x14ac:dyDescent="0.25">
      <c r="A50" s="1637" t="s">
        <v>499</v>
      </c>
      <c r="B50" s="1637"/>
      <c r="C50" s="1637"/>
      <c r="D50" s="1637"/>
      <c r="E50" s="1637"/>
      <c r="F50" s="1637"/>
      <c r="G50" s="1637"/>
      <c r="H50" s="1637"/>
      <c r="I50" s="1637"/>
      <c r="J50" s="1637"/>
      <c r="K50" s="1637"/>
      <c r="L50" s="968">
        <f>ROUND(SUM(L47:L49),4)</f>
        <v>0</v>
      </c>
    </row>
    <row r="51" spans="1:12" x14ac:dyDescent="0.25">
      <c r="A51" s="990"/>
      <c r="B51" s="990"/>
      <c r="C51" s="990"/>
      <c r="D51" s="990"/>
      <c r="E51" s="990"/>
      <c r="F51" s="990"/>
      <c r="G51" s="875"/>
      <c r="H51" s="991"/>
      <c r="I51" s="991"/>
      <c r="J51" s="992"/>
      <c r="K51" s="993"/>
      <c r="L51" s="994"/>
    </row>
    <row r="52" spans="1:12" x14ac:dyDescent="0.25">
      <c r="A52" s="1637" t="s">
        <v>448</v>
      </c>
      <c r="B52" s="1637"/>
      <c r="C52" s="1637"/>
      <c r="D52" s="1637"/>
      <c r="E52" s="1637"/>
      <c r="F52" s="1637"/>
      <c r="G52" s="1637"/>
      <c r="H52" s="1637"/>
      <c r="I52" s="1637"/>
      <c r="J52" s="1637"/>
      <c r="K52" s="1637"/>
      <c r="L52" s="968">
        <f>ROUND(L36+L42+L50,4)</f>
        <v>1.3064</v>
      </c>
    </row>
    <row r="53" spans="1:12" x14ac:dyDescent="0.25">
      <c r="A53" s="1638" t="s">
        <v>449</v>
      </c>
      <c r="B53" s="1638"/>
      <c r="C53" s="1638"/>
      <c r="D53" s="1638"/>
      <c r="E53" s="1638"/>
      <c r="F53" s="1638"/>
      <c r="G53" s="1638"/>
      <c r="H53" s="1638"/>
      <c r="I53" s="1638"/>
      <c r="J53" s="1638"/>
      <c r="K53" s="996">
        <f>[1]LDI!I34</f>
        <v>0.25569999999999998</v>
      </c>
      <c r="L53" s="997">
        <f>ROUND(L52*K53,4)</f>
        <v>0.33400000000000002</v>
      </c>
    </row>
    <row r="54" spans="1:12" x14ac:dyDescent="0.25">
      <c r="A54" s="1639" t="s">
        <v>450</v>
      </c>
      <c r="B54" s="1639"/>
      <c r="C54" s="1639"/>
      <c r="D54" s="1639"/>
      <c r="E54" s="1639"/>
      <c r="F54" s="1639"/>
      <c r="G54" s="1639"/>
      <c r="H54" s="1639"/>
      <c r="I54" s="1639"/>
      <c r="J54" s="1639"/>
      <c r="K54" s="1639"/>
      <c r="L54" s="1069">
        <f>ROUND(L52+L53,2)</f>
        <v>1.64</v>
      </c>
    </row>
    <row r="55" spans="1:12" x14ac:dyDescent="0.25">
      <c r="A55" s="999"/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</row>
    <row r="56" spans="1:12" ht="20.7" customHeight="1" x14ac:dyDescent="0.25">
      <c r="A56" s="1000" t="s">
        <v>451</v>
      </c>
      <c r="B56" s="1001"/>
      <c r="C56" s="1687" t="s">
        <v>553</v>
      </c>
      <c r="D56" s="1687"/>
      <c r="E56" s="1687"/>
      <c r="F56" s="1687"/>
      <c r="G56" s="1687"/>
      <c r="H56" s="1687"/>
      <c r="I56" s="1687"/>
      <c r="J56" s="1687"/>
      <c r="K56" s="1687"/>
      <c r="L56" s="1687"/>
    </row>
    <row r="57" spans="1:12" ht="14.7" customHeight="1" x14ac:dyDescent="0.25">
      <c r="A57" s="1083"/>
      <c r="B57" s="1084"/>
      <c r="C57" s="1680" t="s">
        <v>507</v>
      </c>
      <c r="D57" s="1680"/>
      <c r="E57" s="1680"/>
      <c r="F57" s="1680"/>
      <c r="G57" s="1680"/>
      <c r="H57" s="1680"/>
      <c r="I57" s="1680"/>
      <c r="J57" s="1680"/>
      <c r="K57" s="1680"/>
      <c r="L57" s="1680"/>
    </row>
    <row r="58" spans="1:12" ht="49.5" customHeight="1" x14ac:dyDescent="0.25">
      <c r="A58" s="1165"/>
      <c r="B58" s="1166"/>
      <c r="C58" s="1680" t="s">
        <v>554</v>
      </c>
      <c r="D58" s="1680"/>
      <c r="E58" s="1680"/>
      <c r="F58" s="1680"/>
      <c r="G58" s="1680"/>
      <c r="H58" s="1680"/>
      <c r="I58" s="1680"/>
      <c r="J58" s="1680"/>
      <c r="K58" s="1680"/>
      <c r="L58" s="1680"/>
    </row>
    <row r="59" spans="1:12" ht="21.75" customHeight="1" x14ac:dyDescent="0.25">
      <c r="A59" s="1168"/>
      <c r="B59" s="1014"/>
      <c r="C59" s="1014"/>
      <c r="D59" s="1014"/>
      <c r="E59" s="1014"/>
      <c r="F59" s="1014"/>
      <c r="G59" s="1014"/>
      <c r="H59" s="1014"/>
      <c r="I59" s="1014"/>
      <c r="J59" s="1014"/>
      <c r="K59" s="1014"/>
      <c r="L59" s="1015"/>
    </row>
    <row r="60" spans="1:12" ht="20.25" customHeight="1" x14ac:dyDescent="0.25"/>
    <row r="67" ht="7.5" customHeight="1" x14ac:dyDescent="0.25"/>
  </sheetData>
  <sheetProtection selectLockedCells="1" selectUnlockedCells="1"/>
  <mergeCells count="48">
    <mergeCell ref="C58:L58"/>
    <mergeCell ref="A50:K50"/>
    <mergeCell ref="A52:K52"/>
    <mergeCell ref="A53:J53"/>
    <mergeCell ref="A54:K54"/>
    <mergeCell ref="C56:L56"/>
    <mergeCell ref="C57:L57"/>
    <mergeCell ref="L44:L46"/>
    <mergeCell ref="A47:A48"/>
    <mergeCell ref="B47:B48"/>
    <mergeCell ref="C47:C48"/>
    <mergeCell ref="D47:E48"/>
    <mergeCell ref="F47:F48"/>
    <mergeCell ref="G47:G48"/>
    <mergeCell ref="L47:L48"/>
    <mergeCell ref="H40:I40"/>
    <mergeCell ref="H41:I41"/>
    <mergeCell ref="A42:K42"/>
    <mergeCell ref="A44:F46"/>
    <mergeCell ref="G44:G46"/>
    <mergeCell ref="H44:K44"/>
    <mergeCell ref="D26:I26"/>
    <mergeCell ref="A29:K29"/>
    <mergeCell ref="A36:H36"/>
    <mergeCell ref="I36:K36"/>
    <mergeCell ref="A38:G39"/>
    <mergeCell ref="H38:I39"/>
    <mergeCell ref="J38:J39"/>
    <mergeCell ref="D19:F19"/>
    <mergeCell ref="D20:F20"/>
    <mergeCell ref="A22:K22"/>
    <mergeCell ref="A24:I25"/>
    <mergeCell ref="J24:J25"/>
    <mergeCell ref="K24:K25"/>
    <mergeCell ref="A8:L8"/>
    <mergeCell ref="A9:D9"/>
    <mergeCell ref="A12:L13"/>
    <mergeCell ref="E15:J15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0E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67"/>
  <sheetViews>
    <sheetView view="pageBreakPreview" topLeftCell="A40" zoomScale="80" zoomScaleNormal="80" zoomScaleSheetLayoutView="80" workbookViewId="0">
      <selection activeCell="A19" sqref="A17:K21"/>
    </sheetView>
  </sheetViews>
  <sheetFormatPr defaultColWidth="9" defaultRowHeight="13.2" x14ac:dyDescent="0.25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</cols>
  <sheetData>
    <row r="1" spans="1:12" ht="15.6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5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3.8" x14ac:dyDescent="0.25">
      <c r="A3" s="1828" t="str">
        <f>'5.1'!A3:K3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x14ac:dyDescent="0.25">
      <c r="A4" s="1829" t="str">
        <f>'5.1'!A4:K4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4.7" customHeight="1" x14ac:dyDescent="0.25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555</v>
      </c>
    </row>
    <row r="6" spans="1:12" x14ac:dyDescent="0.25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x14ac:dyDescent="0.25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x14ac:dyDescent="0.25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5">
      <c r="A9" s="1693" t="s">
        <v>413</v>
      </c>
      <c r="B9" s="1693"/>
      <c r="C9" s="1693"/>
      <c r="D9" s="1693"/>
      <c r="E9" s="1179" t="str">
        <f>'[1]Planilha orçamentária'!E9</f>
        <v>Construção / Recuperação e complementação de estradas vicinais</v>
      </c>
      <c r="F9" s="1180"/>
      <c r="G9" s="1180"/>
      <c r="H9" s="1180"/>
      <c r="I9" s="1180"/>
      <c r="J9" s="1180"/>
      <c r="K9" s="1180"/>
      <c r="L9" s="1181"/>
    </row>
    <row r="10" spans="1:12" x14ac:dyDescent="0.25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x14ac:dyDescent="0.25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x14ac:dyDescent="0.25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x14ac:dyDescent="0.25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5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ht="26.25" customHeight="1" x14ac:dyDescent="0.25">
      <c r="A15" s="1186" t="s">
        <v>415</v>
      </c>
      <c r="B15" s="1187"/>
      <c r="C15" s="1187"/>
      <c r="D15" s="1188" t="str">
        <f>'[1]Planilha orçamentária'!B55</f>
        <v>5.2</v>
      </c>
      <c r="E15" s="1695" t="s">
        <v>556</v>
      </c>
      <c r="F15" s="1695"/>
      <c r="G15" s="1695"/>
      <c r="H15" s="1695"/>
      <c r="I15" s="1695"/>
      <c r="J15" s="1695"/>
      <c r="K15" s="1189" t="s">
        <v>417</v>
      </c>
      <c r="L15" s="1190" t="s">
        <v>551</v>
      </c>
    </row>
    <row r="16" spans="1:12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2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2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2" ht="15.75" customHeight="1" x14ac:dyDescent="0.25">
      <c r="A19" s="1195" t="str">
        <f>'[1]Composições - Equipamentos'!A57</f>
        <v>DNIT –</v>
      </c>
      <c r="B19" s="1196" t="str">
        <f>'[1]Composições - Equipamentos'!B57</f>
        <v>E9667</v>
      </c>
      <c r="C19" s="1197" t="s">
        <v>434</v>
      </c>
      <c r="D19" s="1699" t="str">
        <f>'[1]Composições - Equipamentos'!C57</f>
        <v>Caminhão basculante com capacidade de 14 m³ - 323 kW</v>
      </c>
      <c r="E19" s="1699"/>
      <c r="F19" s="1699"/>
      <c r="G19" s="1199">
        <v>3</v>
      </c>
      <c r="H19" s="1200">
        <v>0.98</v>
      </c>
      <c r="I19" s="1201">
        <v>0.02</v>
      </c>
      <c r="J19" s="1202">
        <f>'[1]Composições - Equipamentos'!S57</f>
        <v>265.84550000000002</v>
      </c>
      <c r="K19" s="1202">
        <f>'[1]Composições - Equipamentos'!T57</f>
        <v>51.721299999999999</v>
      </c>
      <c r="L19" s="1202">
        <f t="shared" ref="L19:L21" si="0">(G19*H19*J19)+(G19*I19*K19)</f>
        <v>784.68904800000007</v>
      </c>
    </row>
    <row r="20" spans="1:12" ht="34.200000000000003" customHeight="1" x14ac:dyDescent="0.25">
      <c r="A20" s="1195" t="str">
        <f>'[1]Composições - Equipamentos'!A22</f>
        <v>DNIT –</v>
      </c>
      <c r="B20" s="1196" t="str">
        <f>'[1]Composições - Equipamentos'!B22</f>
        <v>E9515</v>
      </c>
      <c r="C20" s="1197" t="s">
        <v>434</v>
      </c>
      <c r="D20" s="1700" t="str">
        <f>'[1]Composições - Equipamentos'!C22</f>
        <v>Escavadeira hidráulica sobre esteira com caçamba com capacidade de 1,50 m³ - 110 kW (323 DL-Caterpillar)</v>
      </c>
      <c r="E20" s="1700"/>
      <c r="F20" s="1700"/>
      <c r="G20" s="1199">
        <v>1</v>
      </c>
      <c r="H20" s="1200">
        <v>1</v>
      </c>
      <c r="I20" s="1201">
        <v>0</v>
      </c>
      <c r="J20" s="1202">
        <f>'[1]Composições - Equipamentos'!S22</f>
        <v>210.93819999999999</v>
      </c>
      <c r="K20" s="1202">
        <f>'[1]Composições - Equipamentos'!T22</f>
        <v>93.686000000000007</v>
      </c>
      <c r="L20" s="1202">
        <f t="shared" si="0"/>
        <v>210.93819999999999</v>
      </c>
    </row>
    <row r="21" spans="1:12" x14ac:dyDescent="0.25">
      <c r="A21" s="1195"/>
      <c r="B21" s="1196"/>
      <c r="C21" s="1197"/>
      <c r="D21" s="1701"/>
      <c r="E21" s="1701"/>
      <c r="F21" s="1701"/>
      <c r="G21" s="1199"/>
      <c r="H21" s="1200"/>
      <c r="I21" s="1201"/>
      <c r="J21" s="1202"/>
      <c r="K21" s="1202"/>
      <c r="L21" s="1202">
        <f t="shared" si="0"/>
        <v>0</v>
      </c>
    </row>
    <row r="22" spans="1:12" x14ac:dyDescent="0.25">
      <c r="A22" s="1203"/>
      <c r="B22" s="1197"/>
      <c r="C22" s="1197"/>
      <c r="D22" s="1204"/>
      <c r="E22" s="1204"/>
      <c r="F22" s="1204"/>
      <c r="G22" s="1205"/>
      <c r="H22" s="1200"/>
      <c r="I22" s="1201"/>
      <c r="J22" s="1206"/>
      <c r="K22" s="1207"/>
      <c r="L22" s="1202"/>
    </row>
    <row r="23" spans="1:12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ROUND(SUM(L19:L22),4)</f>
        <v>995.62720000000002</v>
      </c>
    </row>
    <row r="24" spans="1:12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2" ht="14.7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2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2" x14ac:dyDescent="0.25">
      <c r="A27" s="1195" t="str">
        <f>'[1]Atualização de custos unitarios'!A84</f>
        <v>DNIT –</v>
      </c>
      <c r="B27" s="1212" t="str">
        <f>'[1]Atualização de custos unitarios'!B84</f>
        <v>P9824</v>
      </c>
      <c r="C27" s="1197" t="s">
        <v>434</v>
      </c>
      <c r="D27" s="1699" t="str">
        <f>'[1]Atualização de custos unitarios'!C84</f>
        <v>Servente</v>
      </c>
      <c r="E27" s="1699"/>
      <c r="F27" s="1699"/>
      <c r="G27" s="1699"/>
      <c r="H27" s="1699"/>
      <c r="I27" s="1699"/>
      <c r="J27" s="1213">
        <v>1</v>
      </c>
      <c r="K27" s="1214">
        <f>'1.1'!G100</f>
        <v>14.981199999999999</v>
      </c>
      <c r="L27" s="1215">
        <f t="shared" ref="L27:L28" si="1">J27*K27</f>
        <v>14.981199999999999</v>
      </c>
    </row>
    <row r="28" spans="1:12" ht="9.4499999999999993" customHeight="1" x14ac:dyDescent="0.25">
      <c r="A28" s="1216"/>
      <c r="B28" s="1217"/>
      <c r="C28" s="1217"/>
      <c r="D28" s="1217"/>
      <c r="E28" s="1217"/>
      <c r="F28" s="1217"/>
      <c r="G28" s="1173"/>
      <c r="H28" s="1193"/>
      <c r="I28" s="1218"/>
      <c r="J28" s="1219"/>
      <c r="K28" s="1214"/>
      <c r="L28" s="1215">
        <f t="shared" si="1"/>
        <v>0</v>
      </c>
    </row>
    <row r="29" spans="1:12" x14ac:dyDescent="0.25">
      <c r="A29" s="1702" t="s">
        <v>478</v>
      </c>
      <c r="B29" s="1702"/>
      <c r="C29" s="1702"/>
      <c r="D29" s="1702"/>
      <c r="E29" s="1702"/>
      <c r="F29" s="1702"/>
      <c r="G29" s="1702"/>
      <c r="H29" s="1702"/>
      <c r="I29" s="1702"/>
      <c r="J29" s="1702"/>
      <c r="K29" s="1702"/>
      <c r="L29" s="1208">
        <f>ROUND(SUM(L27:L28),4)</f>
        <v>14.981199999999999</v>
      </c>
    </row>
    <row r="30" spans="1:12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10"/>
      <c r="L30" s="1210"/>
    </row>
    <row r="31" spans="1:12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20" t="s">
        <v>479</v>
      </c>
      <c r="L31" s="1221">
        <f>L23+L29</f>
        <v>1010.6084</v>
      </c>
    </row>
    <row r="32" spans="1:12" x14ac:dyDescent="0.25">
      <c r="A32" s="1222" t="s">
        <v>480</v>
      </c>
      <c r="B32" s="1209"/>
      <c r="C32" s="1209"/>
      <c r="D32" s="1209"/>
      <c r="E32" s="1209"/>
      <c r="F32" s="1223">
        <v>221.33</v>
      </c>
      <c r="G32" s="1224" t="str">
        <f>L15</f>
        <v>m³</v>
      </c>
      <c r="H32" s="1222"/>
      <c r="I32" s="1209"/>
      <c r="J32" s="1225"/>
      <c r="K32" s="1226" t="s">
        <v>481</v>
      </c>
      <c r="L32" s="1208">
        <f>L31/F32</f>
        <v>4.5660705733520075</v>
      </c>
    </row>
    <row r="33" spans="1:12" x14ac:dyDescent="0.25">
      <c r="A33" s="1222"/>
      <c r="B33" s="1209" t="s">
        <v>482</v>
      </c>
      <c r="C33" s="1209"/>
      <c r="D33" s="1209"/>
      <c r="E33" s="1209"/>
      <c r="F33" s="1223">
        <f>ROUND([1]FIC!$F$11*[1]FIC!$H$21*[1]FIC!$H$34*[1]FIC!$L$6,5)</f>
        <v>4.8980000000000003E-2</v>
      </c>
      <c r="G33" s="1224"/>
      <c r="H33" s="1222"/>
      <c r="I33" s="1209"/>
      <c r="J33" s="1225"/>
      <c r="K33" s="1220" t="s">
        <v>483</v>
      </c>
      <c r="L33" s="1208">
        <f>L32*F33</f>
        <v>0.22364613668278133</v>
      </c>
    </row>
    <row r="34" spans="1:12" x14ac:dyDescent="0.25">
      <c r="A34" s="1222"/>
      <c r="B34" s="1209" t="s">
        <v>484</v>
      </c>
      <c r="C34" s="1209"/>
      <c r="D34" s="1209"/>
      <c r="E34" s="1209"/>
      <c r="F34" s="1227"/>
      <c r="G34" s="1224"/>
      <c r="H34" s="1225"/>
      <c r="I34" s="1228"/>
      <c r="J34" s="1210"/>
      <c r="K34" s="1220" t="s">
        <v>485</v>
      </c>
      <c r="L34" s="1208">
        <f>L32*F34</f>
        <v>0</v>
      </c>
    </row>
    <row r="35" spans="1:12" x14ac:dyDescent="0.25">
      <c r="A35" s="1209"/>
      <c r="B35" s="1209"/>
      <c r="C35" s="1209"/>
      <c r="D35" s="1209"/>
      <c r="E35" s="1209"/>
      <c r="F35" s="1209"/>
      <c r="G35" s="1209"/>
      <c r="H35" s="1209"/>
      <c r="I35" s="1209"/>
      <c r="J35" s="1210"/>
      <c r="K35" s="1210"/>
      <c r="L35" s="1229"/>
    </row>
    <row r="36" spans="1:12" x14ac:dyDescent="0.25">
      <c r="A36" s="1696" t="s">
        <v>486</v>
      </c>
      <c r="B36" s="1696"/>
      <c r="C36" s="1696"/>
      <c r="D36" s="1696"/>
      <c r="E36" s="1696"/>
      <c r="F36" s="1696"/>
      <c r="G36" s="1696"/>
      <c r="H36" s="1696"/>
      <c r="I36" s="1704" t="s">
        <v>487</v>
      </c>
      <c r="J36" s="1704"/>
      <c r="K36" s="1704"/>
      <c r="L36" s="1230">
        <f>ROUND(SUM(L32:L35),4)</f>
        <v>4.7896999999999998</v>
      </c>
    </row>
    <row r="37" spans="1:12" x14ac:dyDescent="0.25">
      <c r="A37" s="710"/>
      <c r="B37" s="710"/>
      <c r="C37" s="710"/>
      <c r="D37" s="710"/>
      <c r="E37" s="710"/>
      <c r="F37" s="710"/>
      <c r="G37" s="1231"/>
      <c r="H37" s="1231"/>
      <c r="I37" s="1232"/>
      <c r="J37" s="1232"/>
      <c r="K37" s="1232"/>
      <c r="L37" s="710"/>
    </row>
    <row r="38" spans="1:12" x14ac:dyDescent="0.25">
      <c r="A38" s="1696" t="s">
        <v>488</v>
      </c>
      <c r="B38" s="1696"/>
      <c r="C38" s="1696"/>
      <c r="D38" s="1696"/>
      <c r="E38" s="1696"/>
      <c r="F38" s="1696"/>
      <c r="G38" s="1696"/>
      <c r="H38" s="1697" t="s">
        <v>164</v>
      </c>
      <c r="I38" s="1697"/>
      <c r="J38" s="1697" t="s">
        <v>163</v>
      </c>
      <c r="K38" s="1192" t="s">
        <v>489</v>
      </c>
      <c r="L38" s="1192" t="s">
        <v>472</v>
      </c>
    </row>
    <row r="39" spans="1:12" x14ac:dyDescent="0.25">
      <c r="A39" s="1696"/>
      <c r="B39" s="1696"/>
      <c r="C39" s="1696"/>
      <c r="D39" s="1696"/>
      <c r="E39" s="1696"/>
      <c r="F39" s="1696"/>
      <c r="G39" s="1696"/>
      <c r="H39" s="1697"/>
      <c r="I39" s="1697"/>
      <c r="J39" s="1697"/>
      <c r="K39" s="1233" t="s">
        <v>490</v>
      </c>
      <c r="L39" s="1194" t="s">
        <v>490</v>
      </c>
    </row>
    <row r="40" spans="1:12" x14ac:dyDescent="0.25">
      <c r="A40" s="1234"/>
      <c r="B40" s="1204"/>
      <c r="C40" s="1197"/>
      <c r="D40" s="1204"/>
      <c r="E40" s="1204"/>
      <c r="F40" s="1204"/>
      <c r="G40" s="1235"/>
      <c r="H40" s="1705"/>
      <c r="I40" s="1705"/>
      <c r="J40" s="1237"/>
      <c r="K40" s="1214"/>
      <c r="L40" s="1238">
        <f t="shared" ref="L40:L41" si="2">H40*K40</f>
        <v>0</v>
      </c>
    </row>
    <row r="41" spans="1:12" x14ac:dyDescent="0.25">
      <c r="A41" s="1239"/>
      <c r="B41" s="1197"/>
      <c r="C41" s="1197"/>
      <c r="D41" s="1217"/>
      <c r="E41" s="1217"/>
      <c r="F41" s="1217"/>
      <c r="G41" s="1240"/>
      <c r="H41" s="1706"/>
      <c r="I41" s="1706"/>
      <c r="J41" s="1237"/>
      <c r="K41" s="1214"/>
      <c r="L41" s="1206">
        <f t="shared" si="2"/>
        <v>0</v>
      </c>
    </row>
    <row r="42" spans="1:12" x14ac:dyDescent="0.25">
      <c r="A42" s="1707" t="s">
        <v>491</v>
      </c>
      <c r="B42" s="1707"/>
      <c r="C42" s="1707"/>
      <c r="D42" s="1707"/>
      <c r="E42" s="1707"/>
      <c r="F42" s="1707"/>
      <c r="G42" s="1707"/>
      <c r="H42" s="1707"/>
      <c r="I42" s="1707"/>
      <c r="J42" s="1707"/>
      <c r="K42" s="1707"/>
      <c r="L42" s="1230">
        <f>ROUND(SUM(L40:L41),4)</f>
        <v>0</v>
      </c>
    </row>
    <row r="43" spans="1:12" x14ac:dyDescent="0.25">
      <c r="A43" s="1241"/>
      <c r="B43" s="1241"/>
      <c r="C43" s="1241"/>
      <c r="D43" s="1241"/>
      <c r="E43" s="1241"/>
      <c r="F43" s="1241"/>
      <c r="G43" s="1241"/>
      <c r="H43" s="1241"/>
      <c r="I43" s="1241"/>
      <c r="J43" s="710"/>
      <c r="K43" s="1242"/>
      <c r="L43" s="1243"/>
    </row>
    <row r="44" spans="1:12" ht="14.7" customHeight="1" x14ac:dyDescent="0.25">
      <c r="A44" s="1696" t="s">
        <v>492</v>
      </c>
      <c r="B44" s="1696"/>
      <c r="C44" s="1696"/>
      <c r="D44" s="1696"/>
      <c r="E44" s="1696"/>
      <c r="F44" s="1696"/>
      <c r="G44" s="1703" t="s">
        <v>493</v>
      </c>
      <c r="H44" s="1697" t="s">
        <v>494</v>
      </c>
      <c r="I44" s="1697"/>
      <c r="J44" s="1697"/>
      <c r="K44" s="1697"/>
      <c r="L44" s="1697" t="s">
        <v>495</v>
      </c>
    </row>
    <row r="45" spans="1:12" ht="9.4499999999999993" customHeight="1" x14ac:dyDescent="0.25">
      <c r="A45" s="1696"/>
      <c r="B45" s="1696"/>
      <c r="C45" s="1696"/>
      <c r="D45" s="1696"/>
      <c r="E45" s="1696"/>
      <c r="F45" s="1696"/>
      <c r="G45" s="1703"/>
      <c r="H45" s="1211" t="s">
        <v>110</v>
      </c>
      <c r="I45" s="1218" t="s">
        <v>302</v>
      </c>
      <c r="J45" s="1194" t="s">
        <v>305</v>
      </c>
      <c r="K45" s="1233" t="s">
        <v>307</v>
      </c>
      <c r="L45" s="1697"/>
    </row>
    <row r="46" spans="1:12" x14ac:dyDescent="0.25">
      <c r="A46" s="1696"/>
      <c r="B46" s="1696"/>
      <c r="C46" s="1696"/>
      <c r="D46" s="1696"/>
      <c r="E46" s="1696"/>
      <c r="F46" s="1696"/>
      <c r="G46" s="1703"/>
      <c r="H46" s="1191" t="s">
        <v>496</v>
      </c>
      <c r="I46" s="1244"/>
      <c r="J46" s="1244"/>
      <c r="K46" s="1244"/>
      <c r="L46" s="1697"/>
    </row>
    <row r="47" spans="1:12" x14ac:dyDescent="0.25">
      <c r="A47" s="1709"/>
      <c r="B47" s="1710"/>
      <c r="C47" s="1711"/>
      <c r="D47" s="1712"/>
      <c r="E47" s="1712"/>
      <c r="F47" s="1713"/>
      <c r="G47" s="1714">
        <f>ROUND(H40/1000,5)</f>
        <v>0</v>
      </c>
      <c r="H47" s="1245" t="s">
        <v>497</v>
      </c>
      <c r="I47" s="1246"/>
      <c r="J47" s="1246"/>
      <c r="K47" s="1246"/>
      <c r="L47" s="1715">
        <f>G47*($I$46*I48+$J$46*J48+$K$46*K48)</f>
        <v>0</v>
      </c>
    </row>
    <row r="48" spans="1:12" x14ac:dyDescent="0.25">
      <c r="A48" s="1709"/>
      <c r="B48" s="1710"/>
      <c r="C48" s="1711"/>
      <c r="D48" s="1712"/>
      <c r="E48" s="1712"/>
      <c r="F48" s="1713"/>
      <c r="G48" s="1714"/>
      <c r="H48" s="1247" t="s">
        <v>498</v>
      </c>
      <c r="I48" s="1248"/>
      <c r="J48" s="1248"/>
      <c r="K48" s="1248"/>
      <c r="L48" s="1715"/>
    </row>
    <row r="49" spans="1:12" x14ac:dyDescent="0.25">
      <c r="A49" s="1239"/>
      <c r="B49" s="1197"/>
      <c r="C49" s="1197"/>
      <c r="D49" s="1217"/>
      <c r="E49" s="1217"/>
      <c r="F49" s="1217"/>
      <c r="G49" s="1249"/>
      <c r="H49" s="1250"/>
      <c r="I49" s="1250"/>
      <c r="J49" s="1251"/>
      <c r="K49" s="1252"/>
      <c r="L49" s="1202">
        <f>G49*H49*K49</f>
        <v>0</v>
      </c>
    </row>
    <row r="50" spans="1:12" x14ac:dyDescent="0.25">
      <c r="A50" s="1707" t="s">
        <v>499</v>
      </c>
      <c r="B50" s="1707"/>
      <c r="C50" s="1707"/>
      <c r="D50" s="1707"/>
      <c r="E50" s="1707"/>
      <c r="F50" s="1707"/>
      <c r="G50" s="1707"/>
      <c r="H50" s="1707"/>
      <c r="I50" s="1707"/>
      <c r="J50" s="1707"/>
      <c r="K50" s="1707"/>
      <c r="L50" s="1253">
        <f>ROUND(SUM(L47:L49),4)</f>
        <v>0</v>
      </c>
    </row>
    <row r="51" spans="1:12" x14ac:dyDescent="0.25">
      <c r="A51" s="1254"/>
      <c r="B51" s="1254"/>
      <c r="C51" s="1254"/>
      <c r="D51" s="1254"/>
      <c r="E51" s="1254"/>
      <c r="F51" s="1254"/>
      <c r="G51" s="1241"/>
      <c r="H51" s="1255"/>
      <c r="I51" s="1255"/>
      <c r="J51" s="1256"/>
      <c r="K51" s="1257"/>
      <c r="L51" s="1258"/>
    </row>
    <row r="52" spans="1:12" x14ac:dyDescent="0.25">
      <c r="A52" s="1707" t="s">
        <v>448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ROUND(L36+L42+L50,4)</f>
        <v>4.7896999999999998</v>
      </c>
    </row>
    <row r="53" spans="1:12" x14ac:dyDescent="0.25">
      <c r="A53" s="1716" t="s">
        <v>449</v>
      </c>
      <c r="B53" s="1716"/>
      <c r="C53" s="1716"/>
      <c r="D53" s="1716"/>
      <c r="E53" s="1716"/>
      <c r="F53" s="1716"/>
      <c r="G53" s="1716"/>
      <c r="H53" s="1716"/>
      <c r="I53" s="1716"/>
      <c r="J53" s="1716"/>
      <c r="K53" s="1259">
        <f>[1]LDI!I34</f>
        <v>0.25569999999999998</v>
      </c>
      <c r="L53" s="1253">
        <f>ROUND(L52*K53,4)</f>
        <v>1.2246999999999999</v>
      </c>
    </row>
    <row r="54" spans="1:12" x14ac:dyDescent="0.25">
      <c r="A54" s="1704" t="s">
        <v>450</v>
      </c>
      <c r="B54" s="1704"/>
      <c r="C54" s="1704"/>
      <c r="D54" s="1704"/>
      <c r="E54" s="1704"/>
      <c r="F54" s="1704"/>
      <c r="G54" s="1704"/>
      <c r="H54" s="1704"/>
      <c r="I54" s="1704"/>
      <c r="J54" s="1704"/>
      <c r="K54" s="1704"/>
      <c r="L54" s="1260">
        <f>ROUND(L52+L53,2)</f>
        <v>6.01</v>
      </c>
    </row>
    <row r="55" spans="1:12" x14ac:dyDescent="0.25">
      <c r="A55" s="1261"/>
      <c r="B55" s="1261"/>
      <c r="C55" s="1261"/>
      <c r="D55" s="1261"/>
      <c r="E55" s="1261"/>
      <c r="F55" s="1261"/>
      <c r="G55" s="1261"/>
      <c r="H55" s="1261"/>
      <c r="I55" s="1261"/>
      <c r="J55" s="1261"/>
      <c r="K55" s="1261"/>
      <c r="L55" s="1261"/>
    </row>
    <row r="56" spans="1:12" ht="19.350000000000001" customHeight="1" x14ac:dyDescent="0.25">
      <c r="A56" s="1262" t="s">
        <v>451</v>
      </c>
      <c r="B56" s="1263"/>
      <c r="C56" s="1717" t="s">
        <v>557</v>
      </c>
      <c r="D56" s="1717"/>
      <c r="E56" s="1717"/>
      <c r="F56" s="1717"/>
      <c r="G56" s="1717"/>
      <c r="H56" s="1717"/>
      <c r="I56" s="1717"/>
      <c r="J56" s="1717"/>
      <c r="K56" s="1717"/>
      <c r="L56" s="1717"/>
    </row>
    <row r="57" spans="1:12" ht="14.7" customHeight="1" x14ac:dyDescent="0.25">
      <c r="A57" s="1264"/>
      <c r="B57" s="1265"/>
      <c r="C57" s="1708" t="s">
        <v>507</v>
      </c>
      <c r="D57" s="1708"/>
      <c r="E57" s="1708"/>
      <c r="F57" s="1708"/>
      <c r="G57" s="1708"/>
      <c r="H57" s="1708"/>
      <c r="I57" s="1708"/>
      <c r="J57" s="1708"/>
      <c r="K57" s="1708"/>
      <c r="L57" s="1708"/>
    </row>
    <row r="58" spans="1:12" x14ac:dyDescent="0.25">
      <c r="A58" s="1264"/>
      <c r="B58" s="1265"/>
      <c r="C58" s="1265"/>
      <c r="D58" s="1265"/>
      <c r="E58" s="1265"/>
      <c r="F58" s="1265"/>
      <c r="G58" s="1265"/>
      <c r="H58" s="1265"/>
      <c r="I58" s="1265"/>
      <c r="J58" s="1265"/>
      <c r="K58" s="1265"/>
      <c r="L58" s="1266"/>
    </row>
    <row r="59" spans="1:12" ht="21.75" customHeight="1" x14ac:dyDescent="0.25">
      <c r="A59" s="1267"/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9"/>
    </row>
    <row r="60" spans="1:12" ht="20.25" customHeight="1" x14ac:dyDescent="0.25"/>
    <row r="67" ht="7.5" customHeight="1" x14ac:dyDescent="0.25"/>
  </sheetData>
  <sheetProtection selectLockedCells="1" selectUnlockedCells="1"/>
  <mergeCells count="48">
    <mergeCell ref="C57:L57"/>
    <mergeCell ref="L44:L46"/>
    <mergeCell ref="A47:A48"/>
    <mergeCell ref="B47:B48"/>
    <mergeCell ref="C47:C48"/>
    <mergeCell ref="D47:E48"/>
    <mergeCell ref="F47:F48"/>
    <mergeCell ref="G47:G48"/>
    <mergeCell ref="L47:L48"/>
    <mergeCell ref="A50:K50"/>
    <mergeCell ref="A52:K52"/>
    <mergeCell ref="A53:J53"/>
    <mergeCell ref="A54:K54"/>
    <mergeCell ref="C56:L56"/>
    <mergeCell ref="H40:I40"/>
    <mergeCell ref="H41:I41"/>
    <mergeCell ref="A42:K42"/>
    <mergeCell ref="A44:F46"/>
    <mergeCell ref="G44:G46"/>
    <mergeCell ref="H44:K44"/>
    <mergeCell ref="D27:I27"/>
    <mergeCell ref="A29:K29"/>
    <mergeCell ref="A36:H36"/>
    <mergeCell ref="I36:K36"/>
    <mergeCell ref="A38:G39"/>
    <mergeCell ref="H38:I39"/>
    <mergeCell ref="J38:J39"/>
    <mergeCell ref="D19:F19"/>
    <mergeCell ref="D20:F20"/>
    <mergeCell ref="D21:F21"/>
    <mergeCell ref="A23:K23"/>
    <mergeCell ref="A25:I26"/>
    <mergeCell ref="J25:J26"/>
    <mergeCell ref="K25:K26"/>
    <mergeCell ref="A8:L8"/>
    <mergeCell ref="A9:D9"/>
    <mergeCell ref="A12:L13"/>
    <mergeCell ref="E15:J15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0F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65536"/>
  <sheetViews>
    <sheetView view="pageBreakPreview" topLeftCell="A43" zoomScale="90" zoomScaleNormal="80" zoomScaleSheetLayoutView="90" workbookViewId="0">
      <selection activeCell="A19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'5.2'!A3:K3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'5.2'!A4:K4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6.75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187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6.7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179" t="str">
        <f>'[1]Planilha orçamentária'!E9</f>
        <v>Construção / Recuperação e complementação de estradas vicinais</v>
      </c>
      <c r="F9" s="1180"/>
      <c r="G9" s="1180"/>
      <c r="H9" s="1180"/>
      <c r="I9" s="1180"/>
      <c r="J9" s="1180"/>
      <c r="K9" s="1180"/>
      <c r="L9" s="1181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9.7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187</v>
      </c>
      <c r="E15" s="1718" t="s">
        <v>558</v>
      </c>
      <c r="F15" s="1718"/>
      <c r="G15" s="1718"/>
      <c r="H15" s="1718"/>
      <c r="I15" s="1718"/>
      <c r="J15" s="1718"/>
      <c r="K15" s="1189" t="s">
        <v>417</v>
      </c>
      <c r="L15" s="1190" t="s">
        <v>551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1" customHeight="1" x14ac:dyDescent="0.25">
      <c r="A19" s="1195" t="str">
        <f>'[1]Composições - Equipamentos'!A39</f>
        <v>DNIT –</v>
      </c>
      <c r="B19" s="1196" t="str">
        <f>'[1]Composições - Equipamentos'!B39</f>
        <v>E9571</v>
      </c>
      <c r="C19" s="1197" t="s">
        <v>434</v>
      </c>
      <c r="D19" s="1719" t="str">
        <f>'[1]Composições - Equipamentos'!C39</f>
        <v>Caminhão tanque com capacidade de 10.000 l - 188 kW (Atego 2426 - Mercedes-Benz)</v>
      </c>
      <c r="E19" s="1719"/>
      <c r="F19" s="1719"/>
      <c r="G19" s="1199">
        <v>2</v>
      </c>
      <c r="H19" s="1200">
        <v>0.7</v>
      </c>
      <c r="I19" s="1201">
        <v>0.3</v>
      </c>
      <c r="J19" s="1202">
        <f>'[1]Composições - Equipamentos'!S39</f>
        <v>204.17570000000001</v>
      </c>
      <c r="K19" s="1202">
        <f>'[1]Composições - Equipamentos'!T39</f>
        <v>60.8142</v>
      </c>
      <c r="L19" s="1202">
        <f t="shared" ref="L19:L23" si="0">(G19*H19*J19)+(G19*I19*K19)</f>
        <v>322.33449999999999</v>
      </c>
    </row>
    <row r="20" spans="1:14" s="1271" customFormat="1" ht="24.9" customHeight="1" x14ac:dyDescent="0.25">
      <c r="A20" s="1195" t="str">
        <f>'[1]Composições - Equipamentos'!A24</f>
        <v>DNIT –</v>
      </c>
      <c r="B20" s="1196" t="str">
        <f>'[1]Composições - Equipamentos'!B24</f>
        <v>E9518</v>
      </c>
      <c r="C20" s="1197" t="s">
        <v>434</v>
      </c>
      <c r="D20" s="1701" t="str">
        <f>'[1]Composições - Equipamentos'!C24</f>
        <v>Grade de 24 discos rebocável de 24" (GAM 24 x 24" - Marchesan)</v>
      </c>
      <c r="E20" s="1701"/>
      <c r="F20" s="1701"/>
      <c r="G20" s="1199">
        <v>1</v>
      </c>
      <c r="H20" s="1200">
        <v>0.71</v>
      </c>
      <c r="I20" s="1201">
        <v>0.28999999999999998</v>
      </c>
      <c r="J20" s="1202">
        <f>'[1]Composições - Equipamentos'!S24</f>
        <v>2.8195000000000001</v>
      </c>
      <c r="K20" s="1202">
        <f>'[1]Composições - Equipamentos'!T24</f>
        <v>1.9599</v>
      </c>
      <c r="L20" s="1202">
        <f t="shared" si="0"/>
        <v>2.5702159999999998</v>
      </c>
    </row>
    <row r="21" spans="1:14" s="1271" customFormat="1" ht="14.1" customHeight="1" x14ac:dyDescent="0.25">
      <c r="A21" s="1195" t="str">
        <f>'[1]Composições - Equipamentos'!A27</f>
        <v>DNIT –</v>
      </c>
      <c r="B21" s="1196" t="str">
        <f>'[1]Composições - Equipamentos'!B27</f>
        <v>E9524</v>
      </c>
      <c r="C21" s="1197" t="s">
        <v>434</v>
      </c>
      <c r="D21" s="1701" t="str">
        <f>'[1]Composições - Equipamentos'!C27</f>
        <v>Motoniveladora - 93 kW (120K - Caterpillar)</v>
      </c>
      <c r="E21" s="1701"/>
      <c r="F21" s="1701"/>
      <c r="G21" s="1199">
        <v>1</v>
      </c>
      <c r="H21" s="1200">
        <v>0.41</v>
      </c>
      <c r="I21" s="1201">
        <v>0.59</v>
      </c>
      <c r="J21" s="1202">
        <f>'[1]Composições - Equipamentos'!S27</f>
        <v>184.2696</v>
      </c>
      <c r="K21" s="1202">
        <f>'[1]Composições - Equipamentos'!T27</f>
        <v>79.578100000000006</v>
      </c>
      <c r="L21" s="1202">
        <f t="shared" si="0"/>
        <v>122.50161499999999</v>
      </c>
    </row>
    <row r="22" spans="1:14" s="1271" customFormat="1" ht="24.9" customHeight="1" x14ac:dyDescent="0.25">
      <c r="A22" s="1195" t="str">
        <f>'[1]Composições - Equipamentos'!A61</f>
        <v>DNIT –</v>
      </c>
      <c r="B22" s="1273" t="str">
        <f>'[1]Composições - Equipamentos'!B61</f>
        <v>E9685</v>
      </c>
      <c r="C22" s="1197" t="s">
        <v>434</v>
      </c>
      <c r="D22" s="1720" t="str">
        <f>'[1]Composições - Equipamentos'!C61</f>
        <v>Rolo compactador pé de carneiro vibratório autopropelido de 11,6 t - 82 kW (CA 250 D - Dynapac)</v>
      </c>
      <c r="E22" s="1720"/>
      <c r="F22" s="1720"/>
      <c r="G22" s="1199">
        <v>1</v>
      </c>
      <c r="H22" s="1200">
        <v>1</v>
      </c>
      <c r="I22" s="1201">
        <v>0</v>
      </c>
      <c r="J22" s="1202">
        <f>'[1]Composições - Equipamentos'!S61</f>
        <v>150.01669999999999</v>
      </c>
      <c r="K22" s="1202">
        <f>'[1]Composições - Equipamentos'!T61</f>
        <v>68.910399999999996</v>
      </c>
      <c r="L22" s="1202">
        <f t="shared" si="0"/>
        <v>150.01669999999999</v>
      </c>
    </row>
    <row r="23" spans="1:14" s="1271" customFormat="1" ht="14.1" customHeight="1" x14ac:dyDescent="0.25">
      <c r="A23" s="1195" t="str">
        <f>'[1]Composições - Equipamentos'!A44</f>
        <v>DNIT –</v>
      </c>
      <c r="B23" s="1196" t="str">
        <f>'[1]Composições - Equipamentos'!B44</f>
        <v>E9577</v>
      </c>
      <c r="C23" s="1197" t="s">
        <v>434</v>
      </c>
      <c r="D23" s="1701" t="str">
        <f>'[1]Composições - Equipamentos'!C44</f>
        <v>Trator agrícola - 77 kW (MF 4292 - Massey Ferguson)</v>
      </c>
      <c r="E23" s="1701"/>
      <c r="F23" s="1701"/>
      <c r="G23" s="1199">
        <v>1</v>
      </c>
      <c r="H23" s="1200">
        <v>0.71</v>
      </c>
      <c r="I23" s="1201">
        <v>0.28999999999999998</v>
      </c>
      <c r="J23" s="1202">
        <f>'[1]Composições - Equipamentos'!S44</f>
        <v>89.639600000000002</v>
      </c>
      <c r="K23" s="1202">
        <f>'[1]Composições - Equipamentos'!T44</f>
        <v>34.623800000000003</v>
      </c>
      <c r="L23" s="1202">
        <f t="shared" si="0"/>
        <v>73.685017999999999</v>
      </c>
    </row>
    <row r="24" spans="1:14" s="1271" customFormat="1" ht="14.1" customHeight="1" x14ac:dyDescent="0.25">
      <c r="A24" s="1203"/>
      <c r="B24" s="1204"/>
      <c r="C24" s="1197"/>
      <c r="D24" s="1204"/>
      <c r="E24" s="1204"/>
      <c r="F24" s="1204"/>
      <c r="G24" s="1205"/>
      <c r="H24" s="1200"/>
      <c r="I24" s="1201"/>
      <c r="J24" s="1206"/>
      <c r="K24" s="1207"/>
      <c r="L24" s="1202"/>
    </row>
    <row r="25" spans="1:14" s="1271" customFormat="1" ht="14.1" customHeight="1" x14ac:dyDescent="0.25">
      <c r="A25" s="1702" t="s">
        <v>476</v>
      </c>
      <c r="B25" s="1702"/>
      <c r="C25" s="1702"/>
      <c r="D25" s="1702"/>
      <c r="E25" s="1702"/>
      <c r="F25" s="1702"/>
      <c r="G25" s="1702"/>
      <c r="H25" s="1702"/>
      <c r="I25" s="1702"/>
      <c r="J25" s="1702"/>
      <c r="K25" s="1702"/>
      <c r="L25" s="1208">
        <f>ROUND(SUM(L19:L24),4)</f>
        <v>671.10799999999995</v>
      </c>
    </row>
    <row r="26" spans="1:14" s="1271" customFormat="1" ht="3" customHeight="1" x14ac:dyDescent="0.25">
      <c r="A26" s="1209"/>
      <c r="B26" s="1209"/>
      <c r="C26" s="1209"/>
      <c r="D26" s="1209"/>
      <c r="E26" s="1209"/>
      <c r="F26" s="1209"/>
      <c r="G26" s="1209"/>
      <c r="H26" s="1210"/>
      <c r="I26" s="1210"/>
      <c r="J26" s="1210"/>
      <c r="K26" s="1210"/>
      <c r="L26" s="1210"/>
    </row>
    <row r="27" spans="1:14" s="1271" customFormat="1" ht="14.1" customHeight="1" x14ac:dyDescent="0.25">
      <c r="A27" s="1696" t="s">
        <v>439</v>
      </c>
      <c r="B27" s="1696"/>
      <c r="C27" s="1696"/>
      <c r="D27" s="1696"/>
      <c r="E27" s="1696"/>
      <c r="F27" s="1696"/>
      <c r="G27" s="1696"/>
      <c r="H27" s="1696"/>
      <c r="I27" s="1696"/>
      <c r="J27" s="1697" t="s">
        <v>164</v>
      </c>
      <c r="K27" s="1703" t="s">
        <v>477</v>
      </c>
      <c r="L27" s="1192" t="s">
        <v>441</v>
      </c>
    </row>
    <row r="28" spans="1:14" s="1271" customFormat="1" ht="9.4499999999999993" customHeight="1" x14ac:dyDescent="0.25">
      <c r="A28" s="1696"/>
      <c r="B28" s="1696"/>
      <c r="C28" s="1696"/>
      <c r="D28" s="1696"/>
      <c r="E28" s="1696"/>
      <c r="F28" s="1696"/>
      <c r="G28" s="1696"/>
      <c r="H28" s="1696"/>
      <c r="I28" s="1696"/>
      <c r="J28" s="1697"/>
      <c r="K28" s="1703"/>
      <c r="L28" s="1194" t="s">
        <v>475</v>
      </c>
    </row>
    <row r="29" spans="1:14" s="1271" customFormat="1" ht="14.1" customHeight="1" x14ac:dyDescent="0.25">
      <c r="A29" s="1195" t="str">
        <f>'[1]Atualização de custos unitarios'!A84</f>
        <v>DNIT –</v>
      </c>
      <c r="B29" s="1212" t="str">
        <f>'[1]Atualização de custos unitarios'!B84</f>
        <v>P9824</v>
      </c>
      <c r="C29" s="1197" t="s">
        <v>434</v>
      </c>
      <c r="D29" s="1699" t="str">
        <f>'[1]Atualização de custos unitarios'!C84</f>
        <v>Servente</v>
      </c>
      <c r="E29" s="1699"/>
      <c r="F29" s="1699"/>
      <c r="G29" s="1699"/>
      <c r="H29" s="1699"/>
      <c r="I29" s="1699"/>
      <c r="J29" s="1213">
        <v>2</v>
      </c>
      <c r="K29" s="1214">
        <f>'1.1'!G100</f>
        <v>14.981199999999999</v>
      </c>
      <c r="L29" s="1215">
        <f t="shared" ref="L29:L31" si="1">J29*K29</f>
        <v>29.962399999999999</v>
      </c>
      <c r="N29" s="1274"/>
    </row>
    <row r="30" spans="1:14" s="1271" customFormat="1" ht="14.1" customHeight="1" x14ac:dyDescent="0.25">
      <c r="A30" s="1203"/>
      <c r="B30" s="1204"/>
      <c r="C30" s="1197"/>
      <c r="D30" s="1204"/>
      <c r="E30" s="1204"/>
      <c r="F30" s="1204"/>
      <c r="G30" s="710"/>
      <c r="H30" s="1197"/>
      <c r="I30" s="1275"/>
      <c r="J30" s="1213"/>
      <c r="K30" s="1214"/>
      <c r="L30" s="1215">
        <f t="shared" si="1"/>
        <v>0</v>
      </c>
    </row>
    <row r="31" spans="1:14" s="1271" customFormat="1" ht="14.1" customHeight="1" x14ac:dyDescent="0.25">
      <c r="A31" s="1216"/>
      <c r="B31" s="1217"/>
      <c r="C31" s="1217"/>
      <c r="D31" s="1217"/>
      <c r="E31" s="1217"/>
      <c r="F31" s="1217"/>
      <c r="G31" s="1173"/>
      <c r="H31" s="1193"/>
      <c r="I31" s="1218"/>
      <c r="J31" s="1219"/>
      <c r="K31" s="1214"/>
      <c r="L31" s="1215">
        <f t="shared" si="1"/>
        <v>0</v>
      </c>
    </row>
    <row r="32" spans="1:14" s="1271" customFormat="1" ht="14.1" customHeight="1" x14ac:dyDescent="0.25">
      <c r="A32" s="1702" t="s">
        <v>478</v>
      </c>
      <c r="B32" s="1702"/>
      <c r="C32" s="1702"/>
      <c r="D32" s="1702"/>
      <c r="E32" s="1702"/>
      <c r="F32" s="1702"/>
      <c r="G32" s="1702"/>
      <c r="H32" s="1702"/>
      <c r="I32" s="1702"/>
      <c r="J32" s="1702"/>
      <c r="K32" s="1702"/>
      <c r="L32" s="1208">
        <f>ROUND(SUM(L29:L31),4)</f>
        <v>29.962399999999999</v>
      </c>
    </row>
    <row r="33" spans="1:13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10"/>
    </row>
    <row r="34" spans="1:13" s="1272" customFormat="1" ht="14.1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20" t="s">
        <v>479</v>
      </c>
      <c r="L34" s="1221">
        <f>L25+L32</f>
        <v>701.07039999999995</v>
      </c>
    </row>
    <row r="35" spans="1:13" s="1272" customFormat="1" ht="14.1" customHeight="1" x14ac:dyDescent="0.25">
      <c r="A35" s="1222" t="s">
        <v>480</v>
      </c>
      <c r="B35" s="1209"/>
      <c r="C35" s="1209"/>
      <c r="D35" s="1209"/>
      <c r="E35" s="1209"/>
      <c r="F35" s="1223">
        <v>228.84</v>
      </c>
      <c r="G35" s="1276" t="str">
        <f>L15</f>
        <v>m³</v>
      </c>
      <c r="H35" s="1222"/>
      <c r="I35" s="1209"/>
      <c r="J35" s="1225"/>
      <c r="K35" s="1226" t="s">
        <v>481</v>
      </c>
      <c r="L35" s="1208">
        <f>L34/F35</f>
        <v>3.0635832896346789</v>
      </c>
    </row>
    <row r="36" spans="1:13" s="1272" customFormat="1" ht="14.1" customHeight="1" x14ac:dyDescent="0.25">
      <c r="A36" s="1222"/>
      <c r="B36" s="1209" t="s">
        <v>482</v>
      </c>
      <c r="C36" s="1209"/>
      <c r="D36" s="1209"/>
      <c r="E36" s="1209"/>
      <c r="F36" s="1223">
        <f>ROUND([1]FIC!$F$11*[1]FIC!$H$21*[1]FIC!$H$34*[1]FIC!$L$6,5)</f>
        <v>4.8980000000000003E-2</v>
      </c>
      <c r="G36" s="1224"/>
      <c r="H36" s="1222"/>
      <c r="I36" s="1209"/>
      <c r="J36" s="1225"/>
      <c r="K36" s="1220" t="s">
        <v>483</v>
      </c>
      <c r="L36" s="1208">
        <f>L35*F36</f>
        <v>0.15005430952630658</v>
      </c>
    </row>
    <row r="37" spans="1:13" s="1272" customFormat="1" ht="14.1" customHeight="1" x14ac:dyDescent="0.25">
      <c r="A37" s="1222"/>
      <c r="B37" s="1209" t="s">
        <v>484</v>
      </c>
      <c r="C37" s="1209"/>
      <c r="D37" s="1209"/>
      <c r="E37" s="1209"/>
      <c r="F37" s="1227"/>
      <c r="G37" s="1224"/>
      <c r="H37" s="1225"/>
      <c r="I37" s="1228"/>
      <c r="J37" s="1210"/>
      <c r="K37" s="1220" t="s">
        <v>485</v>
      </c>
      <c r="L37" s="1208">
        <f>L35*F37</f>
        <v>0</v>
      </c>
      <c r="M37" s="1277"/>
    </row>
    <row r="38" spans="1:13" s="1272" customFormat="1" ht="3" customHeight="1" x14ac:dyDescent="0.25">
      <c r="A38" s="1209"/>
      <c r="B38" s="1209"/>
      <c r="C38" s="1209"/>
      <c r="D38" s="1209"/>
      <c r="E38" s="1209"/>
      <c r="F38" s="1209"/>
      <c r="G38" s="1209"/>
      <c r="H38" s="1209"/>
      <c r="I38" s="1209"/>
      <c r="J38" s="1210"/>
      <c r="K38" s="1210"/>
      <c r="L38" s="1229"/>
    </row>
    <row r="39" spans="1:13" s="1271" customFormat="1" ht="14.1" customHeight="1" x14ac:dyDescent="0.25">
      <c r="A39" s="1696" t="s">
        <v>486</v>
      </c>
      <c r="B39" s="1696"/>
      <c r="C39" s="1696"/>
      <c r="D39" s="1696"/>
      <c r="E39" s="1696"/>
      <c r="F39" s="1696"/>
      <c r="G39" s="1696"/>
      <c r="H39" s="1696"/>
      <c r="I39" s="1704" t="s">
        <v>487</v>
      </c>
      <c r="J39" s="1704"/>
      <c r="K39" s="1704"/>
      <c r="L39" s="1230">
        <f>ROUND(SUM(L35:L38),4)</f>
        <v>3.2136</v>
      </c>
    </row>
    <row r="40" spans="1:13" s="1272" customFormat="1" ht="3" customHeight="1" x14ac:dyDescent="0.25">
      <c r="A40" s="710"/>
      <c r="B40" s="710"/>
      <c r="C40" s="710"/>
      <c r="D40" s="710"/>
      <c r="E40" s="710"/>
      <c r="F40" s="710"/>
      <c r="G40" s="1231"/>
      <c r="H40" s="1231"/>
      <c r="I40" s="1232"/>
      <c r="J40" s="1232"/>
      <c r="K40" s="1232"/>
      <c r="L40" s="710"/>
    </row>
    <row r="41" spans="1:13" s="1271" customFormat="1" ht="14.1" customHeight="1" x14ac:dyDescent="0.25">
      <c r="A41" s="1696" t="s">
        <v>488</v>
      </c>
      <c r="B41" s="1696"/>
      <c r="C41" s="1696"/>
      <c r="D41" s="1696"/>
      <c r="E41" s="1696"/>
      <c r="F41" s="1696"/>
      <c r="G41" s="1696"/>
      <c r="H41" s="1697" t="s">
        <v>164</v>
      </c>
      <c r="I41" s="1697"/>
      <c r="J41" s="1697" t="s">
        <v>163</v>
      </c>
      <c r="K41" s="1192" t="s">
        <v>489</v>
      </c>
      <c r="L41" s="1192" t="s">
        <v>472</v>
      </c>
    </row>
    <row r="42" spans="1:13" s="1271" customFormat="1" ht="14.1" customHeight="1" x14ac:dyDescent="0.25">
      <c r="A42" s="1696"/>
      <c r="B42" s="1696"/>
      <c r="C42" s="1696"/>
      <c r="D42" s="1696"/>
      <c r="E42" s="1696"/>
      <c r="F42" s="1696"/>
      <c r="G42" s="1696"/>
      <c r="H42" s="1697"/>
      <c r="I42" s="1697"/>
      <c r="J42" s="1697"/>
      <c r="K42" s="1233" t="s">
        <v>490</v>
      </c>
      <c r="L42" s="1194" t="s">
        <v>490</v>
      </c>
    </row>
    <row r="43" spans="1:13" s="1271" customFormat="1" ht="14.1" customHeight="1" x14ac:dyDescent="0.25">
      <c r="A43" s="1234"/>
      <c r="B43" s="1204"/>
      <c r="C43" s="1197"/>
      <c r="D43" s="1204"/>
      <c r="E43" s="1204"/>
      <c r="F43" s="1204"/>
      <c r="G43" s="1235"/>
      <c r="H43" s="1705"/>
      <c r="I43" s="1705"/>
      <c r="J43" s="1237"/>
      <c r="K43" s="1214"/>
      <c r="L43" s="1238">
        <f t="shared" ref="L43:L44" si="2">H43*K43</f>
        <v>0</v>
      </c>
    </row>
    <row r="44" spans="1:13" s="1271" customFormat="1" ht="14.1" customHeight="1" x14ac:dyDescent="0.25">
      <c r="A44" s="1239"/>
      <c r="B44" s="1197"/>
      <c r="C44" s="1197"/>
      <c r="D44" s="1217"/>
      <c r="E44" s="1217"/>
      <c r="F44" s="1217"/>
      <c r="G44" s="1240"/>
      <c r="H44" s="1706"/>
      <c r="I44" s="1706"/>
      <c r="J44" s="1237"/>
      <c r="K44" s="1214"/>
      <c r="L44" s="1206">
        <f t="shared" si="2"/>
        <v>0</v>
      </c>
    </row>
    <row r="45" spans="1:13" s="1271" customFormat="1" ht="9.4499999999999993" customHeight="1" x14ac:dyDescent="0.25">
      <c r="A45" s="1707" t="s">
        <v>491</v>
      </c>
      <c r="B45" s="1707"/>
      <c r="C45" s="1707"/>
      <c r="D45" s="1707"/>
      <c r="E45" s="1707"/>
      <c r="F45" s="1707"/>
      <c r="G45" s="1707"/>
      <c r="H45" s="1707"/>
      <c r="I45" s="1707"/>
      <c r="J45" s="1707"/>
      <c r="K45" s="1707"/>
      <c r="L45" s="1230">
        <f>ROUND(SUM(L43:L44),4)</f>
        <v>0</v>
      </c>
    </row>
    <row r="46" spans="1:13" s="1272" customFormat="1" ht="3" customHeight="1" x14ac:dyDescent="0.25">
      <c r="A46" s="1241"/>
      <c r="B46" s="1241"/>
      <c r="C46" s="1241"/>
      <c r="D46" s="1241"/>
      <c r="E46" s="1241"/>
      <c r="F46" s="1241"/>
      <c r="G46" s="1241"/>
      <c r="H46" s="1241"/>
      <c r="I46" s="1241"/>
      <c r="J46" s="710"/>
      <c r="K46" s="1242"/>
      <c r="L46" s="1243"/>
    </row>
    <row r="47" spans="1:13" s="1271" customFormat="1" ht="14.1" customHeight="1" x14ac:dyDescent="0.25">
      <c r="A47" s="1696" t="s">
        <v>492</v>
      </c>
      <c r="B47" s="1696"/>
      <c r="C47" s="1696"/>
      <c r="D47" s="1696"/>
      <c r="E47" s="1696"/>
      <c r="F47" s="1696"/>
      <c r="G47" s="1703" t="s">
        <v>493</v>
      </c>
      <c r="H47" s="1697" t="s">
        <v>494</v>
      </c>
      <c r="I47" s="1697"/>
      <c r="J47" s="1697"/>
      <c r="K47" s="1697"/>
      <c r="L47" s="1697" t="s">
        <v>495</v>
      </c>
    </row>
    <row r="48" spans="1:13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211" t="s">
        <v>110</v>
      </c>
      <c r="I48" s="1218" t="s">
        <v>302</v>
      </c>
      <c r="J48" s="1194" t="s">
        <v>305</v>
      </c>
      <c r="K48" s="1233" t="s">
        <v>307</v>
      </c>
      <c r="L48" s="1697"/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191" t="s">
        <v>496</v>
      </c>
      <c r="I49" s="1244"/>
      <c r="J49" s="1244"/>
      <c r="K49" s="1244"/>
      <c r="L49" s="1697"/>
    </row>
    <row r="50" spans="1:12" s="1271" customFormat="1" ht="14.1" customHeight="1" x14ac:dyDescent="0.25">
      <c r="A50" s="1709"/>
      <c r="B50" s="1710"/>
      <c r="C50" s="1711"/>
      <c r="D50" s="1712"/>
      <c r="E50" s="1712"/>
      <c r="F50" s="1713"/>
      <c r="G50" s="1714">
        <f>ROUND(H43/1000,5)</f>
        <v>0</v>
      </c>
      <c r="H50" s="1245" t="s">
        <v>497</v>
      </c>
      <c r="I50" s="1246"/>
      <c r="J50" s="1246"/>
      <c r="K50" s="1246"/>
      <c r="L50" s="1715">
        <f>G50*($I$49*I51+$J$49*J51+$K$49*K51)</f>
        <v>0</v>
      </c>
    </row>
    <row r="51" spans="1:12" s="1271" customFormat="1" ht="14.1" customHeight="1" x14ac:dyDescent="0.25">
      <c r="A51" s="1709"/>
      <c r="B51" s="1710"/>
      <c r="C51" s="1711"/>
      <c r="D51" s="1712"/>
      <c r="E51" s="1712"/>
      <c r="F51" s="1713"/>
      <c r="G51" s="1714"/>
      <c r="H51" s="1247" t="s">
        <v>498</v>
      </c>
      <c r="I51" s="1248"/>
      <c r="J51" s="1248"/>
      <c r="K51" s="1248"/>
      <c r="L51" s="1715"/>
    </row>
    <row r="52" spans="1:12" s="1271" customFormat="1" ht="14.1" customHeight="1" x14ac:dyDescent="0.25">
      <c r="A52" s="1239"/>
      <c r="B52" s="1197"/>
      <c r="C52" s="1197"/>
      <c r="D52" s="1217"/>
      <c r="E52" s="1217"/>
      <c r="F52" s="1217"/>
      <c r="G52" s="1249"/>
      <c r="H52" s="1250"/>
      <c r="I52" s="1250"/>
      <c r="J52" s="1251"/>
      <c r="K52" s="1252"/>
      <c r="L52" s="1202">
        <f>G52*H52*K52</f>
        <v>0</v>
      </c>
    </row>
    <row r="53" spans="1:12" s="1271" customFormat="1" ht="14.1" customHeight="1" x14ac:dyDescent="0.25">
      <c r="A53" s="1707" t="s">
        <v>499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ROUND(SUM(L50:L52),4)</f>
        <v>0</v>
      </c>
    </row>
    <row r="54" spans="1:12" s="1271" customFormat="1" ht="3" customHeight="1" x14ac:dyDescent="0.25">
      <c r="A54" s="1254"/>
      <c r="B54" s="1254"/>
      <c r="C54" s="1254"/>
      <c r="D54" s="1254"/>
      <c r="E54" s="1254"/>
      <c r="F54" s="1254"/>
      <c r="G54" s="1241"/>
      <c r="H54" s="1255"/>
      <c r="I54" s="1255"/>
      <c r="J54" s="1256"/>
      <c r="K54" s="1257"/>
      <c r="L54" s="1258"/>
    </row>
    <row r="55" spans="1:12" s="1271" customFormat="1" ht="15" customHeight="1" x14ac:dyDescent="0.25">
      <c r="A55" s="1707" t="s">
        <v>448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253">
        <f>ROUND(L39+L45+L53,4)</f>
        <v>3.2136</v>
      </c>
    </row>
    <row r="56" spans="1:12" s="1271" customFormat="1" ht="15" customHeight="1" x14ac:dyDescent="0.25">
      <c r="A56" s="1716" t="s">
        <v>449</v>
      </c>
      <c r="B56" s="1716"/>
      <c r="C56" s="1716"/>
      <c r="D56" s="1716"/>
      <c r="E56" s="1716"/>
      <c r="F56" s="1716"/>
      <c r="G56" s="1716"/>
      <c r="H56" s="1716"/>
      <c r="I56" s="1716"/>
      <c r="J56" s="1716"/>
      <c r="K56" s="1259">
        <f>[1]LDI!I34</f>
        <v>0.25569999999999998</v>
      </c>
      <c r="L56" s="1253">
        <f>ROUND(L55*K56,4)</f>
        <v>0.82169999999999999</v>
      </c>
    </row>
    <row r="57" spans="1:12" s="1271" customFormat="1" ht="20.100000000000001" customHeight="1" x14ac:dyDescent="0.25">
      <c r="A57" s="1704" t="s">
        <v>450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260">
        <f>ROUND(L55+L56,2)</f>
        <v>4.04</v>
      </c>
    </row>
    <row r="58" spans="1:12" s="1271" customFormat="1" ht="3" customHeight="1" x14ac:dyDescent="0.25">
      <c r="A58" s="1261"/>
      <c r="B58" s="1261"/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</row>
    <row r="59" spans="1:12" s="1271" customFormat="1" ht="21.75" customHeight="1" x14ac:dyDescent="0.25">
      <c r="A59" s="1262" t="s">
        <v>451</v>
      </c>
      <c r="B59" s="1263"/>
      <c r="C59" s="1717" t="s">
        <v>559</v>
      </c>
      <c r="D59" s="1717"/>
      <c r="E59" s="1717"/>
      <c r="F59" s="1717"/>
      <c r="G59" s="1717"/>
      <c r="H59" s="1717"/>
      <c r="I59" s="1717"/>
      <c r="J59" s="1717"/>
      <c r="K59" s="1717"/>
      <c r="L59" s="1717"/>
    </row>
    <row r="60" spans="1:12" s="1271" customFormat="1" ht="20.25" customHeight="1" x14ac:dyDescent="0.25">
      <c r="A60" s="1264"/>
      <c r="B60" s="1265"/>
      <c r="C60" s="1708" t="s">
        <v>507</v>
      </c>
      <c r="D60" s="1708"/>
      <c r="E60" s="1708"/>
      <c r="F60" s="1708"/>
      <c r="G60" s="1708"/>
      <c r="H60" s="1708"/>
      <c r="I60" s="1708"/>
      <c r="J60" s="1708"/>
      <c r="K60" s="1708"/>
      <c r="L60" s="1708"/>
    </row>
    <row r="61" spans="1:12" s="1271" customFormat="1" ht="1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0">
    <mergeCell ref="C60:L60"/>
    <mergeCell ref="L50:L51"/>
    <mergeCell ref="A53:K53"/>
    <mergeCell ref="A55:K55"/>
    <mergeCell ref="A56:J56"/>
    <mergeCell ref="A57:K57"/>
    <mergeCell ref="C59:L59"/>
    <mergeCell ref="A47:F49"/>
    <mergeCell ref="G47:G49"/>
    <mergeCell ref="H47:K47"/>
    <mergeCell ref="L47:L49"/>
    <mergeCell ref="A50:A51"/>
    <mergeCell ref="B50:B51"/>
    <mergeCell ref="C50:C51"/>
    <mergeCell ref="D50:E51"/>
    <mergeCell ref="F50:F51"/>
    <mergeCell ref="G50:G51"/>
    <mergeCell ref="A45:K45"/>
    <mergeCell ref="A27:I28"/>
    <mergeCell ref="J27:J28"/>
    <mergeCell ref="K27:K28"/>
    <mergeCell ref="D29:I29"/>
    <mergeCell ref="A32:K32"/>
    <mergeCell ref="A39:H39"/>
    <mergeCell ref="I39:K39"/>
    <mergeCell ref="A41:G42"/>
    <mergeCell ref="H41:I42"/>
    <mergeCell ref="J41:J42"/>
    <mergeCell ref="H43:I43"/>
    <mergeCell ref="H44:I44"/>
    <mergeCell ref="A25:K25"/>
    <mergeCell ref="A8:L8"/>
    <mergeCell ref="A9:D9"/>
    <mergeCell ref="A12:L13"/>
    <mergeCell ref="E15:J15"/>
    <mergeCell ref="A17:F18"/>
    <mergeCell ref="G17:G18"/>
    <mergeCell ref="H17:I17"/>
    <mergeCell ref="J17:K17"/>
    <mergeCell ref="D19:F19"/>
    <mergeCell ref="D20:F20"/>
    <mergeCell ref="D21:F21"/>
    <mergeCell ref="D22:F22"/>
    <mergeCell ref="D23:F23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0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65536"/>
  <sheetViews>
    <sheetView view="pageBreakPreview" zoomScale="80" zoomScaleNormal="80" zoomScaleSheetLayoutView="80" workbookViewId="0">
      <selection activeCell="J25" sqref="J25:J26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'5.3'!A3:K3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'5.3'!A4:K4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188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179" t="str">
        <f>'[1]Planilha orçamentária'!E9</f>
        <v>Construção / Recuperação e complementação de estradas vicinais</v>
      </c>
      <c r="F10" s="1180"/>
      <c r="G10" s="1180"/>
      <c r="H10" s="1180"/>
      <c r="I10" s="1180"/>
      <c r="J10" s="1180"/>
      <c r="K10" s="1180"/>
      <c r="L10" s="1181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280" t="s">
        <v>188</v>
      </c>
      <c r="E16" s="1721" t="s">
        <v>560</v>
      </c>
      <c r="F16" s="1721"/>
      <c r="G16" s="1721"/>
      <c r="H16" s="1721"/>
      <c r="I16" s="1721"/>
      <c r="J16" s="1721"/>
      <c r="K16" s="1189" t="s">
        <v>417</v>
      </c>
      <c r="L16" s="1190" t="s">
        <v>561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14.1" customHeight="1" x14ac:dyDescent="0.25">
      <c r="A20" s="1195" t="str">
        <f>'[1]Composições - Equipamentos'!A27</f>
        <v>DNIT –</v>
      </c>
      <c r="B20" s="1196" t="str">
        <f>'[1]Composições - Equipamentos'!B27</f>
        <v>E9524</v>
      </c>
      <c r="C20" s="1197" t="s">
        <v>434</v>
      </c>
      <c r="D20" s="1722" t="str">
        <f>'[1]Composições - Equipamentos'!C27</f>
        <v>Motoniveladora - 93 kW (120K - Caterpillar)</v>
      </c>
      <c r="E20" s="1722"/>
      <c r="F20" s="1722"/>
      <c r="G20" s="1199">
        <v>1</v>
      </c>
      <c r="H20" s="1200">
        <v>1</v>
      </c>
      <c r="I20" s="1201">
        <v>0</v>
      </c>
      <c r="J20" s="1202">
        <f>'[1]Composições - Equipamentos'!S27</f>
        <v>184.2696</v>
      </c>
      <c r="K20" s="1202">
        <f>'[1]Composições - Equipamentos'!T27</f>
        <v>79.578100000000006</v>
      </c>
      <c r="L20" s="1202">
        <f t="shared" ref="L20:L21" si="0">(G20*H20*J20)+(G20*I20*K20)</f>
        <v>184.2696</v>
      </c>
    </row>
    <row r="21" spans="1:14" s="1271" customFormat="1" ht="14.1" customHeight="1" x14ac:dyDescent="0.25">
      <c r="A21" s="1203"/>
      <c r="B21" s="1204"/>
      <c r="C21" s="1197"/>
      <c r="D21" s="1204"/>
      <c r="E21" s="1204"/>
      <c r="F21" s="1204"/>
      <c r="G21" s="1199"/>
      <c r="H21" s="1200"/>
      <c r="I21" s="1201"/>
      <c r="J21" s="1202"/>
      <c r="K21" s="1207"/>
      <c r="L21" s="1202">
        <f t="shared" si="0"/>
        <v>0</v>
      </c>
    </row>
    <row r="22" spans="1:14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200"/>
      <c r="I22" s="1201"/>
      <c r="J22" s="1206"/>
      <c r="K22" s="1207"/>
      <c r="L22" s="1202"/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184.2696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195" t="str">
        <f>'[1]Atualização de custos unitarios'!A84</f>
        <v>DNIT –</v>
      </c>
      <c r="B27" s="1212" t="str">
        <f>'[1]Atualização de custos unitarios'!B84</f>
        <v>P9824</v>
      </c>
      <c r="C27" s="1197" t="s">
        <v>434</v>
      </c>
      <c r="D27" s="1699" t="str">
        <f>'[1]Atualização de custos unitarios'!C84</f>
        <v>Servente</v>
      </c>
      <c r="E27" s="1699"/>
      <c r="F27" s="1699"/>
      <c r="G27" s="1699"/>
      <c r="H27" s="1699"/>
      <c r="I27" s="1699"/>
      <c r="J27" s="1213">
        <v>1</v>
      </c>
      <c r="K27" s="1214">
        <f>'1.1'!G100</f>
        <v>14.981199999999999</v>
      </c>
      <c r="L27" s="1215">
        <f t="shared" ref="L27:L29" si="1">J27*K27</f>
        <v>14.981199999999999</v>
      </c>
      <c r="N27" s="1274"/>
    </row>
    <row r="28" spans="1:14" s="1271" customFormat="1" ht="9.4499999999999993" customHeight="1" x14ac:dyDescent="0.25">
      <c r="A28" s="1203"/>
      <c r="B28" s="1204"/>
      <c r="C28" s="1197"/>
      <c r="D28" s="1204"/>
      <c r="E28" s="1204"/>
      <c r="F28" s="1204"/>
      <c r="G28" s="710"/>
      <c r="H28" s="1197"/>
      <c r="I28" s="1275"/>
      <c r="J28" s="1213"/>
      <c r="K28" s="1214"/>
      <c r="L28" s="1215">
        <f t="shared" si="1"/>
        <v>0</v>
      </c>
    </row>
    <row r="29" spans="1:14" s="1271" customFormat="1" ht="14.1" customHeight="1" x14ac:dyDescent="0.25">
      <c r="A29" s="1216"/>
      <c r="B29" s="1217"/>
      <c r="C29" s="1217"/>
      <c r="D29" s="1217"/>
      <c r="E29" s="1217"/>
      <c r="F29" s="1217"/>
      <c r="G29" s="1173"/>
      <c r="H29" s="1193"/>
      <c r="I29" s="1218"/>
      <c r="J29" s="1219"/>
      <c r="K29" s="1214"/>
      <c r="L29" s="1215">
        <f t="shared" si="1"/>
        <v>0</v>
      </c>
    </row>
    <row r="30" spans="1:14" s="1271" customFormat="1" ht="14.1" customHeight="1" x14ac:dyDescent="0.25">
      <c r="A30" s="1702" t="s">
        <v>478</v>
      </c>
      <c r="B30" s="1702"/>
      <c r="C30" s="1702"/>
      <c r="D30" s="1702"/>
      <c r="E30" s="1702"/>
      <c r="F30" s="1702"/>
      <c r="G30" s="1702"/>
      <c r="H30" s="1702"/>
      <c r="I30" s="1702"/>
      <c r="J30" s="1702"/>
      <c r="K30" s="1702"/>
      <c r="L30" s="1208">
        <f>ROUND(SUM(L27:L29),4)</f>
        <v>14.981199999999999</v>
      </c>
    </row>
    <row r="31" spans="1:14" s="1272" customFormat="1" ht="3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10"/>
      <c r="L31" s="1210"/>
    </row>
    <row r="32" spans="1:14" s="1272" customFormat="1" ht="14.1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20" t="s">
        <v>479</v>
      </c>
      <c r="L32" s="1221">
        <f>L23+L30</f>
        <v>199.2508</v>
      </c>
    </row>
    <row r="33" spans="1:15" s="1272" customFormat="1" ht="14.1" customHeight="1" x14ac:dyDescent="0.25">
      <c r="A33" s="1222" t="s">
        <v>480</v>
      </c>
      <c r="B33" s="1209"/>
      <c r="C33" s="1209"/>
      <c r="D33" s="1209"/>
      <c r="E33" s="1209"/>
      <c r="F33" s="1223">
        <v>1</v>
      </c>
      <c r="G33" s="1276" t="str">
        <f>L16</f>
        <v xml:space="preserve">ha </v>
      </c>
      <c r="H33" s="1222"/>
      <c r="I33" s="1209"/>
      <c r="J33" s="1225"/>
      <c r="K33" s="1226" t="s">
        <v>481</v>
      </c>
      <c r="L33" s="1208">
        <f>L32/F33</f>
        <v>199.2508</v>
      </c>
    </row>
    <row r="34" spans="1:15" s="1272" customFormat="1" ht="14.1" customHeight="1" x14ac:dyDescent="0.25">
      <c r="A34" s="1222"/>
      <c r="B34" s="1209" t="s">
        <v>482</v>
      </c>
      <c r="C34" s="1209"/>
      <c r="D34" s="1209"/>
      <c r="E34" s="1209"/>
      <c r="F34" s="1223">
        <f>ROUND([1]FIC!$F$11*[1]FIC!$H$21*[1]FIC!$H$34*[1]FIC!$L$6,5)</f>
        <v>4.8980000000000003E-2</v>
      </c>
      <c r="G34" s="1224"/>
      <c r="H34" s="1222"/>
      <c r="I34" s="1209"/>
      <c r="J34" s="1225"/>
      <c r="K34" s="1220" t="s">
        <v>483</v>
      </c>
      <c r="L34" s="1208">
        <f>L33*F34</f>
        <v>9.7593041840000012</v>
      </c>
      <c r="M34" s="1277"/>
    </row>
    <row r="35" spans="1:15" s="1272" customFormat="1" ht="14.1" customHeight="1" x14ac:dyDescent="0.25">
      <c r="A35" s="1222"/>
      <c r="B35" s="1209" t="s">
        <v>484</v>
      </c>
      <c r="C35" s="1209"/>
      <c r="D35" s="1209"/>
      <c r="E35" s="1209"/>
      <c r="F35" s="1227"/>
      <c r="G35" s="1224"/>
      <c r="H35" s="1225"/>
      <c r="I35" s="1228"/>
      <c r="J35" s="1210"/>
      <c r="K35" s="1220" t="s">
        <v>485</v>
      </c>
      <c r="L35" s="1208">
        <f>L33*F35</f>
        <v>0</v>
      </c>
      <c r="M35" s="1277"/>
    </row>
    <row r="36" spans="1:15" s="1272" customFormat="1" ht="3" customHeight="1" x14ac:dyDescent="0.25">
      <c r="A36" s="1209"/>
      <c r="B36" s="1209"/>
      <c r="C36" s="1209"/>
      <c r="D36" s="1209"/>
      <c r="E36" s="1209"/>
      <c r="F36" s="1209"/>
      <c r="G36" s="1209"/>
      <c r="H36" s="1209"/>
      <c r="I36" s="1209"/>
      <c r="J36" s="1210"/>
      <c r="K36" s="1210"/>
      <c r="L36" s="1229"/>
    </row>
    <row r="37" spans="1:15" s="1271" customFormat="1" ht="14.1" customHeight="1" x14ac:dyDescent="0.25">
      <c r="A37" s="1696" t="s">
        <v>486</v>
      </c>
      <c r="B37" s="1696"/>
      <c r="C37" s="1696"/>
      <c r="D37" s="1696"/>
      <c r="E37" s="1696"/>
      <c r="F37" s="1696"/>
      <c r="G37" s="1696"/>
      <c r="H37" s="1696"/>
      <c r="I37" s="1704" t="s">
        <v>487</v>
      </c>
      <c r="J37" s="1704"/>
      <c r="K37" s="1704"/>
      <c r="L37" s="1230">
        <f>ROUND(SUM(L33:L36),4)</f>
        <v>209.01009999999999</v>
      </c>
    </row>
    <row r="38" spans="1:15" s="1272" customFormat="1" ht="3" customHeight="1" x14ac:dyDescent="0.25">
      <c r="A38" s="710"/>
      <c r="B38" s="710"/>
      <c r="C38" s="710"/>
      <c r="D38" s="710"/>
      <c r="E38" s="710"/>
      <c r="F38" s="710"/>
      <c r="G38" s="1231"/>
      <c r="H38" s="1231"/>
      <c r="I38" s="1232"/>
      <c r="J38" s="1232"/>
      <c r="K38" s="1232"/>
      <c r="L38" s="710"/>
    </row>
    <row r="39" spans="1:15" s="1271" customFormat="1" ht="14.1" customHeight="1" x14ac:dyDescent="0.25">
      <c r="A39" s="1696" t="s">
        <v>488</v>
      </c>
      <c r="B39" s="1696"/>
      <c r="C39" s="1696"/>
      <c r="D39" s="1696"/>
      <c r="E39" s="1696"/>
      <c r="F39" s="1696"/>
      <c r="G39" s="1696"/>
      <c r="H39" s="1697" t="s">
        <v>164</v>
      </c>
      <c r="I39" s="1697"/>
      <c r="J39" s="1697" t="s">
        <v>163</v>
      </c>
      <c r="K39" s="1192" t="s">
        <v>489</v>
      </c>
      <c r="L39" s="1192" t="s">
        <v>472</v>
      </c>
    </row>
    <row r="40" spans="1:15" s="1271" customFormat="1" ht="14.1" customHeight="1" x14ac:dyDescent="0.25">
      <c r="A40" s="1696"/>
      <c r="B40" s="1696"/>
      <c r="C40" s="1696"/>
      <c r="D40" s="1696"/>
      <c r="E40" s="1696"/>
      <c r="F40" s="1696"/>
      <c r="G40" s="1696"/>
      <c r="H40" s="1697"/>
      <c r="I40" s="1697"/>
      <c r="J40" s="1697"/>
      <c r="K40" s="1233" t="s">
        <v>490</v>
      </c>
      <c r="L40" s="1194" t="s">
        <v>490</v>
      </c>
    </row>
    <row r="41" spans="1:15" s="1271" customFormat="1" ht="17.25" customHeight="1" x14ac:dyDescent="0.25">
      <c r="A41" s="1234"/>
      <c r="B41" s="1204"/>
      <c r="C41" s="1197"/>
      <c r="D41" s="1204"/>
      <c r="E41" s="1204"/>
      <c r="F41" s="1204"/>
      <c r="G41" s="1235"/>
      <c r="H41" s="1705"/>
      <c r="I41" s="1705"/>
      <c r="J41" s="1237"/>
      <c r="K41" s="1214"/>
      <c r="L41" s="1238">
        <f t="shared" ref="L41:L42" si="2">H41*K41</f>
        <v>0</v>
      </c>
    </row>
    <row r="42" spans="1:15" s="1271" customFormat="1" ht="14.1" customHeight="1" x14ac:dyDescent="0.25">
      <c r="A42" s="1239"/>
      <c r="B42" s="1197"/>
      <c r="C42" s="1197"/>
      <c r="D42" s="1217"/>
      <c r="E42" s="1217"/>
      <c r="F42" s="1217"/>
      <c r="G42" s="1240"/>
      <c r="H42" s="1706"/>
      <c r="I42" s="1706"/>
      <c r="J42" s="1237"/>
      <c r="K42" s="1214"/>
      <c r="L42" s="1206">
        <f t="shared" si="2"/>
        <v>0</v>
      </c>
      <c r="O42" s="1282"/>
    </row>
    <row r="43" spans="1:15" s="1271" customFormat="1" ht="14.1" customHeight="1" x14ac:dyDescent="0.25">
      <c r="A43" s="1707" t="s">
        <v>491</v>
      </c>
      <c r="B43" s="1707"/>
      <c r="C43" s="1707"/>
      <c r="D43" s="1707"/>
      <c r="E43" s="1707"/>
      <c r="F43" s="1707"/>
      <c r="G43" s="1707"/>
      <c r="H43" s="1707"/>
      <c r="I43" s="1707"/>
      <c r="J43" s="1707"/>
      <c r="K43" s="1707"/>
      <c r="L43" s="1283">
        <f>ROUND(SUM(L41:L42),4)</f>
        <v>0</v>
      </c>
    </row>
    <row r="44" spans="1:15" s="1272" customFormat="1" ht="3" customHeight="1" x14ac:dyDescent="0.25">
      <c r="A44" s="1241"/>
      <c r="B44" s="1241"/>
      <c r="C44" s="1241"/>
      <c r="D44" s="1241"/>
      <c r="E44" s="1241"/>
      <c r="F44" s="1241"/>
      <c r="G44" s="1241"/>
      <c r="H44" s="1241"/>
      <c r="I44" s="1241"/>
      <c r="J44" s="710"/>
      <c r="K44" s="1242"/>
      <c r="L44" s="1243"/>
    </row>
    <row r="45" spans="1:15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5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5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5" s="1271" customFormat="1" ht="14.1" customHeight="1" x14ac:dyDescent="0.25">
      <c r="A48" s="1709"/>
      <c r="B48" s="1710"/>
      <c r="C48" s="1711"/>
      <c r="D48" s="1712"/>
      <c r="E48" s="1712"/>
      <c r="F48" s="1713"/>
      <c r="G48" s="1714">
        <f>ROUND(H41/1000,5)</f>
        <v>0</v>
      </c>
      <c r="H48" s="1245" t="s">
        <v>497</v>
      </c>
      <c r="I48" s="1246"/>
      <c r="J48" s="1246"/>
      <c r="K48" s="1246"/>
      <c r="L48" s="1715">
        <f>G48*($I$47*I49+$J$47*J49+$K$47*K49)</f>
        <v>0</v>
      </c>
    </row>
    <row r="49" spans="1:12" s="1271" customFormat="1" ht="14.1" customHeight="1" x14ac:dyDescent="0.25">
      <c r="A49" s="1709"/>
      <c r="B49" s="1710"/>
      <c r="C49" s="1711"/>
      <c r="D49" s="1712"/>
      <c r="E49" s="1712"/>
      <c r="F49" s="1713"/>
      <c r="G49" s="1714"/>
      <c r="H49" s="1247" t="s">
        <v>498</v>
      </c>
      <c r="I49" s="1248"/>
      <c r="J49" s="1248"/>
      <c r="K49" s="1248"/>
      <c r="L49" s="1715"/>
    </row>
    <row r="50" spans="1:12" s="1271" customFormat="1" ht="6.75" customHeight="1" x14ac:dyDescent="0.25">
      <c r="A50" s="1195"/>
      <c r="B50" s="1284"/>
      <c r="C50" s="1197"/>
      <c r="D50" s="1285"/>
      <c r="E50" s="1285"/>
      <c r="F50" s="1286"/>
      <c r="G50" s="1199"/>
      <c r="H50" s="1287"/>
      <c r="I50" s="1288"/>
      <c r="J50" s="1201"/>
      <c r="K50" s="1200"/>
      <c r="L50" s="1289"/>
    </row>
    <row r="51" spans="1:12" s="1271" customFormat="1" ht="14.1" customHeight="1" x14ac:dyDescent="0.25">
      <c r="A51" s="1239"/>
      <c r="B51" s="1197"/>
      <c r="C51" s="1197"/>
      <c r="D51" s="1217"/>
      <c r="E51" s="1217"/>
      <c r="F51" s="1217"/>
      <c r="G51" s="1249"/>
      <c r="H51" s="1250"/>
      <c r="I51" s="1250"/>
      <c r="J51" s="1251"/>
      <c r="K51" s="1252"/>
      <c r="L51" s="1202">
        <f>G51*H51*K51</f>
        <v>0</v>
      </c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25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ROUND(L37+L43+L52,4)</f>
        <v>209.01009999999999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53">
        <f>ROUND(L54*K55,4)</f>
        <v>53.443899999999999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262.45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17" t="s">
        <v>562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708" t="s">
        <v>507</v>
      </c>
      <c r="D59" s="1708"/>
      <c r="E59" s="1708"/>
      <c r="F59" s="1708"/>
      <c r="G59" s="1708"/>
      <c r="H59" s="1708"/>
      <c r="I59" s="1708"/>
      <c r="J59" s="1708"/>
      <c r="K59" s="1708"/>
      <c r="L59" s="1708"/>
    </row>
    <row r="60" spans="1:12" s="1271" customFormat="1" ht="20.25" customHeight="1" x14ac:dyDescent="0.25">
      <c r="A60" s="1267"/>
      <c r="B60" s="1268"/>
      <c r="C60" s="1268"/>
      <c r="D60" s="1268"/>
      <c r="E60" s="1268"/>
      <c r="F60" s="1268"/>
      <c r="G60" s="1268"/>
      <c r="H60" s="1268"/>
      <c r="I60" s="1268"/>
      <c r="J60" s="1268"/>
      <c r="K60" s="1268"/>
      <c r="L60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6">
    <mergeCell ref="C59:L59"/>
    <mergeCell ref="L45:L47"/>
    <mergeCell ref="A48:A49"/>
    <mergeCell ref="B48:B49"/>
    <mergeCell ref="C48:C49"/>
    <mergeCell ref="D48:E49"/>
    <mergeCell ref="F48:F49"/>
    <mergeCell ref="G48:G49"/>
    <mergeCell ref="L48:L49"/>
    <mergeCell ref="A52:K52"/>
    <mergeCell ref="A54:K54"/>
    <mergeCell ref="A55:J55"/>
    <mergeCell ref="A56:K56"/>
    <mergeCell ref="C58:L58"/>
    <mergeCell ref="H41:I41"/>
    <mergeCell ref="H42:I42"/>
    <mergeCell ref="A43:K43"/>
    <mergeCell ref="A45:F47"/>
    <mergeCell ref="G45:G47"/>
    <mergeCell ref="H45:K45"/>
    <mergeCell ref="A30:K30"/>
    <mergeCell ref="A37:H37"/>
    <mergeCell ref="I37:K37"/>
    <mergeCell ref="A39:G40"/>
    <mergeCell ref="H39:I40"/>
    <mergeCell ref="J39:J40"/>
    <mergeCell ref="D27:I27"/>
    <mergeCell ref="A8:L8"/>
    <mergeCell ref="A10:D10"/>
    <mergeCell ref="A13:L14"/>
    <mergeCell ref="E16:J16"/>
    <mergeCell ref="A18:F19"/>
    <mergeCell ref="G18:G19"/>
    <mergeCell ref="H18:I18"/>
    <mergeCell ref="J18:K18"/>
    <mergeCell ref="D20:F20"/>
    <mergeCell ref="A23:K23"/>
    <mergeCell ref="A25:I26"/>
    <mergeCell ref="J25:J26"/>
    <mergeCell ref="K25:K26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11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65536"/>
  <sheetViews>
    <sheetView view="pageBreakPreview" topLeftCell="A34" zoomScale="90" zoomScaleNormal="80" zoomScaleSheetLayoutView="9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'5.4'!A3:K3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'5.4'!A4:K4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189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179" t="str">
        <f>'[1]Planilha orçamentária'!E9</f>
        <v>Construção / Recuperação e complementação de estradas vicinais</v>
      </c>
      <c r="F10" s="1180"/>
      <c r="G10" s="1180"/>
      <c r="H10" s="1180"/>
      <c r="I10" s="1180"/>
      <c r="J10" s="1180"/>
      <c r="K10" s="1180"/>
      <c r="L10" s="1181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270" t="s">
        <v>189</v>
      </c>
      <c r="E16" s="1721" t="s">
        <v>563</v>
      </c>
      <c r="F16" s="1721"/>
      <c r="G16" s="1721"/>
      <c r="H16" s="1721"/>
      <c r="I16" s="1721"/>
      <c r="J16" s="1721"/>
      <c r="K16" s="1189" t="s">
        <v>417</v>
      </c>
      <c r="L16" s="1190" t="s">
        <v>136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  <c r="M18" s="1271" t="s">
        <v>564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14.1" customHeight="1" x14ac:dyDescent="0.25">
      <c r="A20" s="1195" t="str">
        <f>'[1]Composições - Equipamentos'!A27</f>
        <v>DNIT –</v>
      </c>
      <c r="B20" s="1196" t="str">
        <f>'[1]Composições - Equipamentos'!B27</f>
        <v>E9524</v>
      </c>
      <c r="C20" s="1197" t="s">
        <v>434</v>
      </c>
      <c r="D20" s="1722" t="str">
        <f>'[1]Composições - Equipamentos'!C27</f>
        <v>Motoniveladora - 93 kW (120K - Caterpillar)</v>
      </c>
      <c r="E20" s="1722"/>
      <c r="F20" s="1722"/>
      <c r="G20" s="1199">
        <v>1</v>
      </c>
      <c r="H20" s="1199">
        <v>4.3103000000000004E-3</v>
      </c>
      <c r="I20" s="1201">
        <v>0</v>
      </c>
      <c r="J20" s="1289">
        <f>'[1]Composições - Equipamentos'!S27</f>
        <v>184.2696</v>
      </c>
      <c r="K20" s="1289">
        <f>'[1]Composições - Equipamentos'!T27</f>
        <v>79.578100000000006</v>
      </c>
      <c r="L20" s="1289">
        <f t="shared" ref="L20:L21" si="0">(G20*H20*J20)+(G20*I20*K20)</f>
        <v>0.79425725688000004</v>
      </c>
    </row>
    <row r="21" spans="1:14" s="1271" customFormat="1" ht="14.1" customHeight="1" x14ac:dyDescent="0.25">
      <c r="A21" s="1203"/>
      <c r="B21" s="1204"/>
      <c r="C21" s="1197"/>
      <c r="D21" s="1204"/>
      <c r="E21" s="1204"/>
      <c r="F21" s="1204"/>
      <c r="G21" s="1199"/>
      <c r="H21" s="1199"/>
      <c r="I21" s="1201"/>
      <c r="J21" s="1289"/>
      <c r="K21" s="1290"/>
      <c r="L21" s="1289">
        <f t="shared" si="0"/>
        <v>0</v>
      </c>
    </row>
    <row r="22" spans="1:14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199"/>
      <c r="I22" s="1201"/>
      <c r="J22" s="1291"/>
      <c r="K22" s="1290"/>
      <c r="L22" s="1289"/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92">
        <f>ROUND(SUM(L20:L22),4)</f>
        <v>0.79430000000000001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195"/>
      <c r="B27" s="1196"/>
      <c r="C27" s="1197"/>
      <c r="D27" s="1699"/>
      <c r="E27" s="1699"/>
      <c r="F27" s="1699"/>
      <c r="G27" s="1699"/>
      <c r="H27" s="1699"/>
      <c r="I27" s="1699"/>
      <c r="J27" s="1213"/>
      <c r="K27" s="1252"/>
      <c r="L27" s="1293">
        <f t="shared" ref="L27:L28" si="1">J27*K27</f>
        <v>0</v>
      </c>
      <c r="N27" s="1274"/>
    </row>
    <row r="28" spans="1:14" s="1271" customFormat="1" ht="9.4499999999999993" customHeight="1" x14ac:dyDescent="0.25">
      <c r="A28" s="1216"/>
      <c r="B28" s="1217"/>
      <c r="C28" s="1217"/>
      <c r="D28" s="1217"/>
      <c r="E28" s="1217"/>
      <c r="F28" s="1217"/>
      <c r="G28" s="1173"/>
      <c r="H28" s="1193"/>
      <c r="I28" s="1218"/>
      <c r="J28" s="1219"/>
      <c r="K28" s="1252"/>
      <c r="L28" s="1293">
        <f t="shared" si="1"/>
        <v>0</v>
      </c>
    </row>
    <row r="29" spans="1:14" s="1271" customFormat="1" ht="14.1" customHeight="1" x14ac:dyDescent="0.25">
      <c r="A29" s="1222"/>
      <c r="B29" s="1209"/>
      <c r="C29" s="1209"/>
      <c r="D29" s="1209"/>
      <c r="E29" s="1209"/>
      <c r="F29" s="1209"/>
      <c r="G29" s="1209"/>
      <c r="H29" s="1209"/>
      <c r="I29" s="1209"/>
      <c r="J29" s="1210"/>
      <c r="K29" s="1225" t="s">
        <v>478</v>
      </c>
      <c r="L29" s="1292">
        <f>ROUND(SUM(L27:L28),4)</f>
        <v>0</v>
      </c>
    </row>
    <row r="30" spans="1:14" s="1272" customFormat="1" ht="3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10"/>
      <c r="L30" s="1210"/>
    </row>
    <row r="31" spans="1:14" s="1272" customFormat="1" ht="14.1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20" t="s">
        <v>479</v>
      </c>
      <c r="L31" s="1294">
        <f>L23+L29</f>
        <v>0.79430000000000001</v>
      </c>
    </row>
    <row r="32" spans="1:14" s="1272" customFormat="1" ht="14.1" customHeight="1" x14ac:dyDescent="0.25">
      <c r="A32" s="1222" t="s">
        <v>480</v>
      </c>
      <c r="B32" s="1209"/>
      <c r="C32" s="1209"/>
      <c r="D32" s="1209"/>
      <c r="E32" s="1209"/>
      <c r="F32" s="1223">
        <v>1</v>
      </c>
      <c r="G32" s="1276" t="str">
        <f>L16</f>
        <v>m</v>
      </c>
      <c r="H32" s="1222"/>
      <c r="I32" s="1209"/>
      <c r="J32" s="1225"/>
      <c r="K32" s="1226" t="s">
        <v>481</v>
      </c>
      <c r="L32" s="1208">
        <f>ROUND(L31/F32,4)</f>
        <v>0.79430000000000001</v>
      </c>
    </row>
    <row r="33" spans="1:13" s="1272" customFormat="1" ht="14.1" customHeight="1" x14ac:dyDescent="0.25">
      <c r="A33" s="1222"/>
      <c r="B33" s="1209" t="s">
        <v>482</v>
      </c>
      <c r="C33" s="1209"/>
      <c r="D33" s="1209"/>
      <c r="E33" s="1209"/>
      <c r="F33" s="1223">
        <f>ROUND([1]FIC!$F$11*[1]FIC!$H$21*[1]FIC!$H$34*[1]FIC!$L$6,5)</f>
        <v>4.8980000000000003E-2</v>
      </c>
      <c r="G33" s="1224"/>
      <c r="H33" s="1222"/>
      <c r="I33" s="1209"/>
      <c r="J33" s="1225"/>
      <c r="K33" s="1220" t="s">
        <v>483</v>
      </c>
      <c r="L33" s="1208">
        <f>ROUND(L32*F33,4)</f>
        <v>3.8899999999999997E-2</v>
      </c>
    </row>
    <row r="34" spans="1:13" s="1272" customFormat="1" ht="14.1" customHeight="1" x14ac:dyDescent="0.25">
      <c r="A34" s="1222"/>
      <c r="B34" s="1209" t="s">
        <v>484</v>
      </c>
      <c r="C34" s="1209"/>
      <c r="D34" s="1209"/>
      <c r="E34" s="1209"/>
      <c r="F34" s="1227"/>
      <c r="G34" s="1224"/>
      <c r="H34" s="1225"/>
      <c r="I34" s="1228"/>
      <c r="J34" s="1210"/>
      <c r="K34" s="1220" t="s">
        <v>485</v>
      </c>
      <c r="L34" s="1292">
        <f>L32*F34</f>
        <v>0</v>
      </c>
      <c r="M34" s="1277"/>
    </row>
    <row r="35" spans="1:13" s="1272" customFormat="1" ht="3" customHeight="1" x14ac:dyDescent="0.25">
      <c r="A35" s="1209"/>
      <c r="B35" s="1209"/>
      <c r="C35" s="1209"/>
      <c r="D35" s="1209"/>
      <c r="E35" s="1209"/>
      <c r="F35" s="1209"/>
      <c r="G35" s="1209"/>
      <c r="H35" s="1209"/>
      <c r="I35" s="1209"/>
      <c r="J35" s="1210"/>
      <c r="K35" s="1210"/>
      <c r="L35" s="1295"/>
    </row>
    <row r="36" spans="1:13" s="1271" customFormat="1" ht="14.1" customHeight="1" x14ac:dyDescent="0.25">
      <c r="A36" s="1696" t="s">
        <v>486</v>
      </c>
      <c r="B36" s="1696"/>
      <c r="C36" s="1696"/>
      <c r="D36" s="1696"/>
      <c r="E36" s="1696"/>
      <c r="F36" s="1696"/>
      <c r="G36" s="1696"/>
      <c r="H36" s="1696"/>
      <c r="I36" s="1704" t="s">
        <v>487</v>
      </c>
      <c r="J36" s="1704"/>
      <c r="K36" s="1704"/>
      <c r="L36" s="1296">
        <f>ROUND(SUM(L32:L35),4)</f>
        <v>0.83320000000000005</v>
      </c>
    </row>
    <row r="37" spans="1:13" s="1272" customFormat="1" ht="3" customHeight="1" x14ac:dyDescent="0.25">
      <c r="A37" s="710"/>
      <c r="B37" s="710"/>
      <c r="C37" s="710"/>
      <c r="D37" s="710"/>
      <c r="E37" s="710"/>
      <c r="F37" s="710"/>
      <c r="G37" s="1231"/>
      <c r="H37" s="1231"/>
      <c r="I37" s="1232"/>
      <c r="J37" s="1232"/>
      <c r="K37" s="1232"/>
      <c r="L37" s="710"/>
    </row>
    <row r="38" spans="1:13" s="1271" customFormat="1" ht="14.1" customHeight="1" x14ac:dyDescent="0.25">
      <c r="A38" s="1696" t="s">
        <v>488</v>
      </c>
      <c r="B38" s="1696"/>
      <c r="C38" s="1696"/>
      <c r="D38" s="1696"/>
      <c r="E38" s="1696"/>
      <c r="F38" s="1696"/>
      <c r="G38" s="1696"/>
      <c r="H38" s="1697" t="s">
        <v>164</v>
      </c>
      <c r="I38" s="1697"/>
      <c r="J38" s="1697" t="s">
        <v>163</v>
      </c>
      <c r="K38" s="1192" t="s">
        <v>489</v>
      </c>
      <c r="L38" s="1192" t="s">
        <v>472</v>
      </c>
    </row>
    <row r="39" spans="1:13" s="1271" customFormat="1" ht="14.1" customHeight="1" x14ac:dyDescent="0.25">
      <c r="A39" s="1696"/>
      <c r="B39" s="1696"/>
      <c r="C39" s="1696"/>
      <c r="D39" s="1696"/>
      <c r="E39" s="1696"/>
      <c r="F39" s="1696"/>
      <c r="G39" s="1696"/>
      <c r="H39" s="1697"/>
      <c r="I39" s="1697"/>
      <c r="J39" s="1697"/>
      <c r="K39" s="1233" t="s">
        <v>490</v>
      </c>
      <c r="L39" s="1194" t="s">
        <v>490</v>
      </c>
    </row>
    <row r="40" spans="1:13" s="1271" customFormat="1" ht="14.1" customHeight="1" x14ac:dyDescent="0.25">
      <c r="A40" s="1234"/>
      <c r="B40" s="1204"/>
      <c r="C40" s="1197"/>
      <c r="D40" s="1204"/>
      <c r="E40" s="1204"/>
      <c r="F40" s="1204"/>
      <c r="G40" s="1235"/>
      <c r="H40" s="1705"/>
      <c r="I40" s="1705"/>
      <c r="J40" s="1237"/>
      <c r="K40" s="1252"/>
      <c r="L40" s="1297">
        <f t="shared" ref="L40:L41" si="2">H40*K40</f>
        <v>0</v>
      </c>
    </row>
    <row r="41" spans="1:13" s="1271" customFormat="1" ht="14.1" customHeight="1" x14ac:dyDescent="0.25">
      <c r="A41" s="1239"/>
      <c r="B41" s="1197"/>
      <c r="C41" s="1197"/>
      <c r="D41" s="1217"/>
      <c r="E41" s="1217"/>
      <c r="F41" s="1217"/>
      <c r="G41" s="1240"/>
      <c r="H41" s="1706"/>
      <c r="I41" s="1706"/>
      <c r="J41" s="1237"/>
      <c r="K41" s="1252"/>
      <c r="L41" s="1291">
        <f t="shared" si="2"/>
        <v>0</v>
      </c>
    </row>
    <row r="42" spans="1:13" s="1271" customFormat="1" ht="14.1" customHeight="1" x14ac:dyDescent="0.25">
      <c r="A42" s="1707" t="s">
        <v>491</v>
      </c>
      <c r="B42" s="1707"/>
      <c r="C42" s="1707"/>
      <c r="D42" s="1707"/>
      <c r="E42" s="1707"/>
      <c r="F42" s="1707"/>
      <c r="G42" s="1707"/>
      <c r="H42" s="1707"/>
      <c r="I42" s="1707"/>
      <c r="J42" s="1707"/>
      <c r="K42" s="1707"/>
      <c r="L42" s="1296">
        <f>ROUND(SUM(L40:L41),4)</f>
        <v>0</v>
      </c>
    </row>
    <row r="43" spans="1:13" s="1272" customFormat="1" ht="3" customHeight="1" x14ac:dyDescent="0.25">
      <c r="A43" s="1241"/>
      <c r="B43" s="1241"/>
      <c r="C43" s="1241"/>
      <c r="D43" s="1241"/>
      <c r="E43" s="1241"/>
      <c r="F43" s="1241"/>
      <c r="G43" s="1241"/>
      <c r="H43" s="1241"/>
      <c r="I43" s="1241"/>
      <c r="J43" s="710"/>
      <c r="K43" s="1242"/>
      <c r="L43" s="1243"/>
    </row>
    <row r="44" spans="1:13" s="1271" customFormat="1" ht="14.1" customHeight="1" x14ac:dyDescent="0.25">
      <c r="A44" s="1696" t="s">
        <v>492</v>
      </c>
      <c r="B44" s="1696"/>
      <c r="C44" s="1696"/>
      <c r="D44" s="1696"/>
      <c r="E44" s="1696"/>
      <c r="F44" s="1696"/>
      <c r="G44" s="1703" t="s">
        <v>493</v>
      </c>
      <c r="H44" s="1697" t="s">
        <v>494</v>
      </c>
      <c r="I44" s="1697"/>
      <c r="J44" s="1697"/>
      <c r="K44" s="1697"/>
      <c r="L44" s="1697" t="s">
        <v>495</v>
      </c>
    </row>
    <row r="45" spans="1:13" s="1271" customFormat="1" ht="9.4499999999999993" customHeight="1" x14ac:dyDescent="0.25">
      <c r="A45" s="1696"/>
      <c r="B45" s="1696"/>
      <c r="C45" s="1696"/>
      <c r="D45" s="1696"/>
      <c r="E45" s="1696"/>
      <c r="F45" s="1696"/>
      <c r="G45" s="1703"/>
      <c r="H45" s="1211" t="s">
        <v>110</v>
      </c>
      <c r="I45" s="1218" t="s">
        <v>302</v>
      </c>
      <c r="J45" s="1194" t="s">
        <v>305</v>
      </c>
      <c r="K45" s="1233" t="s">
        <v>307</v>
      </c>
      <c r="L45" s="1697"/>
    </row>
    <row r="46" spans="1:13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191" t="s">
        <v>496</v>
      </c>
      <c r="I46" s="1244"/>
      <c r="J46" s="1244"/>
      <c r="K46" s="1244"/>
      <c r="L46" s="1697"/>
    </row>
    <row r="47" spans="1:13" s="1271" customFormat="1" ht="14.1" customHeight="1" x14ac:dyDescent="0.25">
      <c r="A47" s="1709"/>
      <c r="B47" s="1710"/>
      <c r="C47" s="1711"/>
      <c r="D47" s="1712"/>
      <c r="E47" s="1712"/>
      <c r="F47" s="1713"/>
      <c r="G47" s="1714">
        <f>ROUND(H40/1000,5)</f>
        <v>0</v>
      </c>
      <c r="H47" s="1245" t="s">
        <v>497</v>
      </c>
      <c r="I47" s="1246"/>
      <c r="J47" s="1246"/>
      <c r="K47" s="1246"/>
      <c r="L47" s="1715">
        <f>G47*($I$46*I48+$J$46*J48+$K$46*K48)</f>
        <v>0</v>
      </c>
    </row>
    <row r="48" spans="1:13" s="1271" customFormat="1" ht="14.1" customHeight="1" x14ac:dyDescent="0.25">
      <c r="A48" s="1709"/>
      <c r="B48" s="1710"/>
      <c r="C48" s="1711"/>
      <c r="D48" s="1712"/>
      <c r="E48" s="1712"/>
      <c r="F48" s="1713"/>
      <c r="G48" s="1714"/>
      <c r="H48" s="1247" t="s">
        <v>498</v>
      </c>
      <c r="I48" s="1248"/>
      <c r="J48" s="1248"/>
      <c r="K48" s="1248"/>
      <c r="L48" s="1715"/>
    </row>
    <row r="49" spans="1:12" s="1271" customFormat="1" ht="14.1" customHeight="1" x14ac:dyDescent="0.25">
      <c r="A49" s="1195"/>
      <c r="B49" s="1284"/>
      <c r="C49" s="1197"/>
      <c r="D49" s="1285"/>
      <c r="E49" s="1285"/>
      <c r="F49" s="1286"/>
      <c r="G49" s="1199"/>
      <c r="H49" s="1287"/>
      <c r="I49" s="1288"/>
      <c r="J49" s="1201"/>
      <c r="K49" s="1200"/>
      <c r="L49" s="1289"/>
    </row>
    <row r="50" spans="1:12" s="1271" customFormat="1" ht="14.1" customHeight="1" x14ac:dyDescent="0.25">
      <c r="A50" s="1239"/>
      <c r="B50" s="1197"/>
      <c r="C50" s="1197"/>
      <c r="D50" s="1217"/>
      <c r="E50" s="1217"/>
      <c r="F50" s="1217"/>
      <c r="G50" s="1249"/>
      <c r="H50" s="1250"/>
      <c r="I50" s="1250"/>
      <c r="J50" s="1251"/>
      <c r="K50" s="1252"/>
      <c r="L50" s="1202">
        <f>G50*H50*K50</f>
        <v>0</v>
      </c>
    </row>
    <row r="51" spans="1:12" s="1271" customFormat="1" ht="14.1" customHeight="1" x14ac:dyDescent="0.25">
      <c r="A51" s="1707" t="s">
        <v>499</v>
      </c>
      <c r="B51" s="1707"/>
      <c r="C51" s="1707"/>
      <c r="D51" s="1707"/>
      <c r="E51" s="1707"/>
      <c r="F51" s="1707"/>
      <c r="G51" s="1707"/>
      <c r="H51" s="1707"/>
      <c r="I51" s="1707"/>
      <c r="J51" s="1707"/>
      <c r="K51" s="1707"/>
      <c r="L51" s="1298">
        <f>ROUND(SUM(L47:L50),4)</f>
        <v>0</v>
      </c>
    </row>
    <row r="52" spans="1:12" s="1271" customFormat="1" ht="3" customHeight="1" x14ac:dyDescent="0.25">
      <c r="A52" s="1254"/>
      <c r="B52" s="1254"/>
      <c r="C52" s="1254"/>
      <c r="D52" s="1254"/>
      <c r="E52" s="1254"/>
      <c r="F52" s="1254"/>
      <c r="G52" s="1241"/>
      <c r="H52" s="1255"/>
      <c r="I52" s="1255"/>
      <c r="J52" s="1256"/>
      <c r="K52" s="1257"/>
      <c r="L52" s="1258"/>
    </row>
    <row r="53" spans="1:12" s="1271" customFormat="1" ht="15" customHeight="1" x14ac:dyDescent="0.25">
      <c r="A53" s="1707" t="s">
        <v>448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98">
        <f>ROUND(L36+L42+L51,4)</f>
        <v>0.83320000000000005</v>
      </c>
    </row>
    <row r="54" spans="1:12" s="1271" customFormat="1" ht="15" customHeight="1" x14ac:dyDescent="0.25">
      <c r="A54" s="1716" t="s">
        <v>449</v>
      </c>
      <c r="B54" s="1716"/>
      <c r="C54" s="1716"/>
      <c r="D54" s="1716"/>
      <c r="E54" s="1716"/>
      <c r="F54" s="1716"/>
      <c r="G54" s="1716"/>
      <c r="H54" s="1716"/>
      <c r="I54" s="1716"/>
      <c r="J54" s="1716"/>
      <c r="K54" s="1259">
        <f>[1]LDI!I34</f>
        <v>0.25569999999999998</v>
      </c>
      <c r="L54" s="1298">
        <f>ROUND(L53*K54,4)</f>
        <v>0.21299999999999999</v>
      </c>
    </row>
    <row r="55" spans="1:12" s="1271" customFormat="1" ht="20.100000000000001" customHeight="1" x14ac:dyDescent="0.25">
      <c r="A55" s="1704" t="s">
        <v>450</v>
      </c>
      <c r="B55" s="1704"/>
      <c r="C55" s="1704"/>
      <c r="D55" s="1704"/>
      <c r="E55" s="1704"/>
      <c r="F55" s="1704"/>
      <c r="G55" s="1704"/>
      <c r="H55" s="1704"/>
      <c r="I55" s="1704"/>
      <c r="J55" s="1704"/>
      <c r="K55" s="1704"/>
      <c r="L55" s="1260">
        <f>ROUND(L53+L54,2)</f>
        <v>1.05</v>
      </c>
    </row>
    <row r="56" spans="1:12" s="1271" customFormat="1" ht="3" customHeight="1" x14ac:dyDescent="0.25">
      <c r="A56" s="1261"/>
      <c r="B56" s="1261"/>
      <c r="C56" s="1261"/>
      <c r="D56" s="1261"/>
      <c r="E56" s="1261"/>
      <c r="F56" s="1261"/>
      <c r="G56" s="1261"/>
      <c r="H56" s="1261"/>
      <c r="I56" s="1261"/>
      <c r="J56" s="1261"/>
      <c r="K56" s="1261"/>
      <c r="L56" s="1261"/>
    </row>
    <row r="57" spans="1:12" s="1271" customFormat="1" ht="21.9" customHeight="1" x14ac:dyDescent="0.25">
      <c r="A57" s="1262" t="s">
        <v>451</v>
      </c>
      <c r="B57" s="1263"/>
      <c r="C57" s="1717" t="s">
        <v>565</v>
      </c>
      <c r="D57" s="1717"/>
      <c r="E57" s="1717"/>
      <c r="F57" s="1717"/>
      <c r="G57" s="1717"/>
      <c r="H57" s="1717"/>
      <c r="I57" s="1717"/>
      <c r="J57" s="1717"/>
      <c r="K57" s="1717"/>
      <c r="L57" s="1717"/>
    </row>
    <row r="58" spans="1:12" s="1271" customFormat="1" ht="15" customHeight="1" x14ac:dyDescent="0.25">
      <c r="A58" s="1264"/>
      <c r="B58" s="1265"/>
      <c r="C58" s="1723" t="s">
        <v>507</v>
      </c>
      <c r="D58" s="1723"/>
      <c r="E58" s="1723"/>
      <c r="F58" s="1723"/>
      <c r="G58" s="1723"/>
      <c r="H58" s="1723"/>
      <c r="I58" s="1723"/>
      <c r="J58" s="1723"/>
      <c r="K58" s="1723"/>
      <c r="L58" s="1723"/>
    </row>
    <row r="59" spans="1:12" s="1271" customFormat="1" ht="21.75" customHeight="1" x14ac:dyDescent="0.25">
      <c r="A59" s="1264"/>
      <c r="B59" s="1265"/>
      <c r="C59" s="1265"/>
      <c r="D59" s="1265"/>
      <c r="E59" s="1265"/>
      <c r="F59" s="1265"/>
      <c r="G59" s="1265"/>
      <c r="H59" s="1265"/>
      <c r="I59" s="1265"/>
      <c r="J59" s="1265"/>
      <c r="K59" s="1265"/>
      <c r="L59" s="1266"/>
    </row>
    <row r="60" spans="1:12" s="1271" customFormat="1" ht="20.25" customHeight="1" x14ac:dyDescent="0.25">
      <c r="A60" s="1267"/>
      <c r="B60" s="1268"/>
      <c r="C60" s="1268"/>
      <c r="D60" s="1268"/>
      <c r="E60" s="1268"/>
      <c r="F60" s="1268"/>
      <c r="G60" s="1268"/>
      <c r="H60" s="1268"/>
      <c r="I60" s="1268"/>
      <c r="J60" s="1268"/>
      <c r="K60" s="1268"/>
      <c r="L60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5">
    <mergeCell ref="C58:L58"/>
    <mergeCell ref="L47:L48"/>
    <mergeCell ref="A51:K51"/>
    <mergeCell ref="A53:K53"/>
    <mergeCell ref="A54:J54"/>
    <mergeCell ref="A55:K55"/>
    <mergeCell ref="C57:L57"/>
    <mergeCell ref="A47:A48"/>
    <mergeCell ref="B47:B48"/>
    <mergeCell ref="C47:C48"/>
    <mergeCell ref="D47:E48"/>
    <mergeCell ref="F47:F48"/>
    <mergeCell ref="G47:G48"/>
    <mergeCell ref="L44:L46"/>
    <mergeCell ref="A36:H36"/>
    <mergeCell ref="I36:K36"/>
    <mergeCell ref="A38:G39"/>
    <mergeCell ref="H38:I39"/>
    <mergeCell ref="J38:J39"/>
    <mergeCell ref="H40:I40"/>
    <mergeCell ref="H41:I41"/>
    <mergeCell ref="A42:K42"/>
    <mergeCell ref="A44:F46"/>
    <mergeCell ref="G44:G46"/>
    <mergeCell ref="H44:K44"/>
    <mergeCell ref="D27:I27"/>
    <mergeCell ref="A8:L8"/>
    <mergeCell ref="A10:D10"/>
    <mergeCell ref="A13:L14"/>
    <mergeCell ref="E16:J16"/>
    <mergeCell ref="A18:F19"/>
    <mergeCell ref="G18:G19"/>
    <mergeCell ref="H18:I18"/>
    <mergeCell ref="J18:K18"/>
    <mergeCell ref="D20:F20"/>
    <mergeCell ref="A23:K23"/>
    <mergeCell ref="A25:I26"/>
    <mergeCell ref="J25:J26"/>
    <mergeCell ref="K25:K26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12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5"/>
  <sheetViews>
    <sheetView showGridLines="0" topLeftCell="A98" zoomScale="80" zoomScaleNormal="80" workbookViewId="0">
      <selection activeCell="K107" sqref="K107"/>
    </sheetView>
  </sheetViews>
  <sheetFormatPr defaultColWidth="13.77734375" defaultRowHeight="17.100000000000001" customHeight="1" x14ac:dyDescent="0.25"/>
  <cols>
    <col min="1" max="2" width="7.109375" style="130" customWidth="1"/>
    <col min="3" max="3" width="11.5546875" style="130" customWidth="1"/>
    <col min="4" max="4" width="13.77734375" style="130" customWidth="1"/>
    <col min="5" max="5" width="12.109375" style="130" customWidth="1"/>
    <col min="6" max="6" width="10.33203125" style="130" customWidth="1"/>
    <col min="7" max="7" width="38.44140625" style="130" customWidth="1"/>
    <col min="8" max="8" width="11.21875" style="130" customWidth="1"/>
    <col min="9" max="10" width="12" style="130" customWidth="1"/>
    <col min="11" max="12" width="9.6640625" style="130" customWidth="1"/>
    <col min="13" max="13" width="22" style="130" customWidth="1"/>
    <col min="14" max="14" width="10.21875" style="130" customWidth="1"/>
    <col min="15" max="15" width="12.109375" style="130" customWidth="1"/>
    <col min="16" max="16" width="15.33203125" style="130" customWidth="1"/>
    <col min="17" max="17" width="13.44140625" style="130" customWidth="1"/>
    <col min="18" max="16384" width="13.77734375" style="130"/>
  </cols>
  <sheetData>
    <row r="1" spans="1:15" ht="12.75" hidden="1" customHeight="1" x14ac:dyDescent="0.25">
      <c r="H1" s="131"/>
      <c r="I1" s="132"/>
      <c r="J1" s="132"/>
    </row>
    <row r="2" spans="1:15" ht="12.75" hidden="1" customHeight="1" x14ac:dyDescent="0.25">
      <c r="A2" s="133" t="s">
        <v>41</v>
      </c>
      <c r="B2" s="133"/>
      <c r="C2" s="133"/>
      <c r="D2" s="133"/>
      <c r="F2" s="130" t="s">
        <v>42</v>
      </c>
      <c r="H2" s="130" t="s">
        <v>43</v>
      </c>
      <c r="I2" s="134"/>
      <c r="J2" s="134"/>
      <c r="O2" s="130" t="s">
        <v>44</v>
      </c>
    </row>
    <row r="3" spans="1:15" ht="12.75" hidden="1" customHeight="1" x14ac:dyDescent="0.25">
      <c r="A3" s="133" t="s">
        <v>45</v>
      </c>
      <c r="B3" s="133"/>
      <c r="C3" s="133"/>
      <c r="D3" s="133"/>
      <c r="F3" s="130" t="s">
        <v>46</v>
      </c>
      <c r="H3" s="130" t="s">
        <v>47</v>
      </c>
      <c r="I3" s="134"/>
      <c r="J3" s="134"/>
      <c r="K3" s="130" t="s">
        <v>48</v>
      </c>
      <c r="O3" s="130" t="s">
        <v>49</v>
      </c>
    </row>
    <row r="4" spans="1:15" ht="12.75" hidden="1" customHeight="1" x14ac:dyDescent="0.25">
      <c r="A4" s="133" t="s">
        <v>50</v>
      </c>
      <c r="B4" s="133"/>
      <c r="C4" s="133"/>
      <c r="D4" s="133"/>
      <c r="H4" s="130" t="s">
        <v>51</v>
      </c>
      <c r="I4" s="134"/>
      <c r="J4" s="134"/>
      <c r="K4" s="130" t="s">
        <v>52</v>
      </c>
    </row>
    <row r="5" spans="1:15" ht="12.75" hidden="1" customHeight="1" x14ac:dyDescent="0.25">
      <c r="A5" s="133" t="s">
        <v>53</v>
      </c>
      <c r="B5" s="133"/>
      <c r="C5" s="133"/>
      <c r="D5" s="133"/>
      <c r="H5" s="130" t="s">
        <v>54</v>
      </c>
      <c r="I5" s="134"/>
      <c r="J5" s="134"/>
    </row>
    <row r="6" spans="1:15" ht="12.75" hidden="1" customHeight="1" x14ac:dyDescent="0.25">
      <c r="A6" s="133" t="s">
        <v>55</v>
      </c>
      <c r="B6" s="133"/>
      <c r="C6" s="133"/>
      <c r="D6" s="133"/>
      <c r="H6" s="130" t="s">
        <v>56</v>
      </c>
      <c r="I6" s="134"/>
      <c r="J6" s="134"/>
    </row>
    <row r="7" spans="1:15" ht="12.75" hidden="1" customHeight="1" x14ac:dyDescent="0.25">
      <c r="A7" s="133" t="s">
        <v>57</v>
      </c>
      <c r="B7" s="133"/>
      <c r="C7" s="133"/>
      <c r="D7" s="133"/>
      <c r="H7" s="130" t="s">
        <v>58</v>
      </c>
      <c r="I7" s="134"/>
      <c r="J7" s="134"/>
    </row>
    <row r="8" spans="1:15" ht="12.75" hidden="1" customHeight="1" x14ac:dyDescent="0.25">
      <c r="A8" s="133" t="s">
        <v>59</v>
      </c>
      <c r="B8" s="133"/>
      <c r="C8" s="133"/>
      <c r="D8" s="133"/>
      <c r="H8" s="130" t="s">
        <v>60</v>
      </c>
      <c r="I8" s="134"/>
      <c r="J8" s="134"/>
    </row>
    <row r="9" spans="1:15" ht="12.75" hidden="1" customHeight="1" x14ac:dyDescent="0.25">
      <c r="A9" s="133" t="s">
        <v>61</v>
      </c>
      <c r="B9" s="133"/>
      <c r="C9" s="133"/>
      <c r="D9" s="133"/>
      <c r="H9" s="130" t="s">
        <v>62</v>
      </c>
      <c r="I9" s="134"/>
      <c r="J9" s="134"/>
    </row>
    <row r="10" spans="1:15" ht="12.75" hidden="1" customHeight="1" x14ac:dyDescent="0.25">
      <c r="A10" s="130" t="s">
        <v>63</v>
      </c>
      <c r="B10" s="133"/>
      <c r="C10" s="133"/>
      <c r="D10" s="133"/>
      <c r="H10" s="130" t="s">
        <v>64</v>
      </c>
    </row>
    <row r="11" spans="1:15" ht="12.75" hidden="1" customHeight="1" x14ac:dyDescent="0.25">
      <c r="A11" s="130" t="s">
        <v>65</v>
      </c>
      <c r="B11" s="133"/>
      <c r="C11" s="133"/>
      <c r="D11" s="133"/>
      <c r="H11" s="130" t="s">
        <v>66</v>
      </c>
    </row>
    <row r="12" spans="1:15" ht="12.75" hidden="1" customHeight="1" x14ac:dyDescent="0.25">
      <c r="A12" s="133" t="s">
        <v>67</v>
      </c>
      <c r="B12" s="133"/>
      <c r="C12" s="133"/>
      <c r="D12" s="133"/>
      <c r="H12" s="130" t="s">
        <v>68</v>
      </c>
    </row>
    <row r="13" spans="1:15" ht="12.75" hidden="1" customHeight="1" x14ac:dyDescent="0.25">
      <c r="A13" s="133" t="s">
        <v>69</v>
      </c>
      <c r="B13" s="133"/>
      <c r="C13" s="133"/>
      <c r="D13" s="133"/>
      <c r="H13" s="130" t="s">
        <v>70</v>
      </c>
    </row>
    <row r="14" spans="1:15" ht="12.75" hidden="1" customHeight="1" x14ac:dyDescent="0.25">
      <c r="A14" s="133"/>
      <c r="B14" s="133"/>
      <c r="C14" s="133"/>
      <c r="D14" s="133"/>
      <c r="H14" s="130" t="s">
        <v>71</v>
      </c>
    </row>
    <row r="15" spans="1:15" ht="12.75" hidden="1" customHeight="1" x14ac:dyDescent="0.25">
      <c r="A15" s="133"/>
      <c r="B15" s="133"/>
      <c r="C15" s="133"/>
      <c r="D15" s="133"/>
      <c r="H15" s="130" t="s">
        <v>72</v>
      </c>
    </row>
    <row r="16" spans="1:15" ht="12.75" hidden="1" customHeight="1" x14ac:dyDescent="0.25">
      <c r="A16" s="133"/>
      <c r="B16" s="133"/>
      <c r="C16" s="133"/>
      <c r="D16" s="133"/>
      <c r="H16" s="130" t="s">
        <v>73</v>
      </c>
    </row>
    <row r="17" spans="1:17" ht="12.75" hidden="1" customHeight="1" x14ac:dyDescent="0.25">
      <c r="B17" s="133"/>
      <c r="C17" s="133"/>
      <c r="D17" s="133"/>
      <c r="H17" s="130" t="s">
        <v>74</v>
      </c>
    </row>
    <row r="18" spans="1:17" ht="12.75" hidden="1" customHeight="1" x14ac:dyDescent="0.25">
      <c r="A18" s="133"/>
      <c r="B18" s="133"/>
      <c r="C18" s="133"/>
      <c r="D18" s="133"/>
      <c r="H18" s="130" t="s">
        <v>75</v>
      </c>
    </row>
    <row r="19" spans="1:17" ht="12.75" hidden="1" customHeight="1" x14ac:dyDescent="0.25">
      <c r="A19" s="133"/>
      <c r="B19" s="133"/>
      <c r="C19" s="133"/>
      <c r="D19" s="133"/>
      <c r="H19" s="130" t="s">
        <v>76</v>
      </c>
    </row>
    <row r="20" spans="1:17" ht="12.75" hidden="1" customHeight="1" x14ac:dyDescent="0.25">
      <c r="B20" s="133"/>
      <c r="C20" s="133"/>
      <c r="D20" s="133"/>
      <c r="H20" s="130" t="s">
        <v>77</v>
      </c>
    </row>
    <row r="21" spans="1:17" ht="12.75" hidden="1" customHeight="1" x14ac:dyDescent="0.25">
      <c r="A21" s="133"/>
      <c r="B21" s="133"/>
      <c r="C21" s="133"/>
      <c r="D21" s="133"/>
      <c r="H21" s="130" t="s">
        <v>78</v>
      </c>
    </row>
    <row r="22" spans="1:17" ht="12.75" hidden="1" customHeight="1" x14ac:dyDescent="0.25">
      <c r="A22" s="133"/>
      <c r="B22" s="133"/>
      <c r="C22" s="133"/>
      <c r="D22" s="133"/>
      <c r="H22" s="130" t="s">
        <v>79</v>
      </c>
    </row>
    <row r="23" spans="1:17" ht="12.75" hidden="1" customHeight="1" x14ac:dyDescent="0.25">
      <c r="A23" s="133"/>
      <c r="B23" s="133"/>
      <c r="C23" s="133"/>
      <c r="D23" s="133"/>
      <c r="H23" s="130" t="s">
        <v>80</v>
      </c>
    </row>
    <row r="24" spans="1:17" ht="12.75" hidden="1" customHeight="1" x14ac:dyDescent="0.25">
      <c r="A24" s="133"/>
      <c r="B24" s="133"/>
      <c r="C24" s="133"/>
      <c r="D24" s="133"/>
    </row>
    <row r="25" spans="1:17" ht="17.100000000000001" hidden="1" customHeight="1" x14ac:dyDescent="0.25">
      <c r="A25" s="133"/>
      <c r="B25" s="133"/>
      <c r="C25" s="133"/>
      <c r="D25" s="133"/>
    </row>
    <row r="26" spans="1:17" ht="24" customHeight="1" x14ac:dyDescent="0.25">
      <c r="A26" s="1507" t="s">
        <v>81</v>
      </c>
      <c r="B26" s="1507"/>
      <c r="C26" s="1507"/>
      <c r="D26" s="1507"/>
      <c r="E26" s="1507"/>
      <c r="F26" s="1507"/>
      <c r="G26" s="1507"/>
      <c r="H26" s="1507"/>
      <c r="I26" s="1507"/>
      <c r="J26" s="1507"/>
      <c r="K26" s="1507"/>
      <c r="L26" s="1507"/>
      <c r="M26" s="1507"/>
      <c r="N26" s="1507"/>
      <c r="O26" s="1507"/>
      <c r="P26" s="1507"/>
      <c r="Q26" s="1507"/>
    </row>
    <row r="27" spans="1:17" ht="27" customHeight="1" x14ac:dyDescent="0.25">
      <c r="A27" s="1508" t="s">
        <v>82</v>
      </c>
      <c r="B27" s="1508"/>
      <c r="C27" s="1509" t="str">
        <f>'[1]Nota de serviço'!C27</f>
        <v>Estradas internas ao PA Manoel Crescêncio de Souza</v>
      </c>
      <c r="D27" s="1509"/>
      <c r="E27" s="1509"/>
      <c r="F27" s="1509"/>
      <c r="G27" s="1509"/>
      <c r="H27" s="1510" t="s">
        <v>83</v>
      </c>
      <c r="I27" s="1510"/>
      <c r="J27" s="1511" t="str">
        <f>'[1]Nota de serviço'!J27</f>
        <v>Prefeitura Municipal de Aurora do Pará</v>
      </c>
      <c r="K27" s="1511"/>
      <c r="L27" s="1511"/>
      <c r="M27" s="1511"/>
      <c r="N27" s="1511"/>
      <c r="O27" s="135"/>
      <c r="P27" s="136"/>
      <c r="Q27" s="137"/>
    </row>
    <row r="28" spans="1:17" ht="24.75" customHeight="1" x14ac:dyDescent="0.25">
      <c r="A28" s="138" t="s">
        <v>5</v>
      </c>
      <c r="B28" s="139"/>
      <c r="C28" s="139" t="str">
        <f>'[1]Nota de serviço'!C28</f>
        <v>PA Manoel Crescêncio de Souza</v>
      </c>
      <c r="D28" s="139"/>
      <c r="E28" s="139"/>
      <c r="F28" s="139"/>
      <c r="G28" s="140"/>
      <c r="H28" s="141" t="s">
        <v>84</v>
      </c>
      <c r="I28" s="142"/>
      <c r="J28" s="142"/>
      <c r="K28" s="142">
        <f>E127</f>
        <v>0.90288709334169837</v>
      </c>
      <c r="L28" s="140" t="s">
        <v>85</v>
      </c>
      <c r="M28" s="143" t="s">
        <v>86</v>
      </c>
      <c r="N28" s="144">
        <f>E128</f>
        <v>6.3</v>
      </c>
      <c r="O28" s="141" t="s">
        <v>87</v>
      </c>
      <c r="P28" s="142">
        <f>ROUND(K107/1000,2)</f>
        <v>13.1</v>
      </c>
      <c r="Q28" s="145" t="s">
        <v>38</v>
      </c>
    </row>
    <row r="29" spans="1:17" ht="16.5" customHeight="1" x14ac:dyDescent="0.25">
      <c r="A29" s="146"/>
      <c r="B29" s="147"/>
      <c r="C29" s="148" t="s">
        <v>88</v>
      </c>
      <c r="D29" s="1512" t="s">
        <v>89</v>
      </c>
      <c r="E29" s="1512"/>
      <c r="F29" s="1512"/>
      <c r="G29" s="1512"/>
      <c r="H29" s="1512"/>
      <c r="I29" s="1512"/>
      <c r="J29" s="1512"/>
      <c r="K29" s="1512"/>
      <c r="L29" s="1512"/>
      <c r="M29" s="1513" t="s">
        <v>90</v>
      </c>
      <c r="N29" s="1514">
        <f>E135</f>
        <v>6</v>
      </c>
      <c r="O29" s="149"/>
      <c r="P29" s="150"/>
      <c r="Q29" s="151"/>
    </row>
    <row r="30" spans="1:17" ht="17.100000000000001" customHeight="1" x14ac:dyDescent="0.25">
      <c r="A30" s="152"/>
      <c r="B30" s="153"/>
      <c r="C30" s="154"/>
      <c r="D30" s="1512"/>
      <c r="E30" s="1512"/>
      <c r="F30" s="1512"/>
      <c r="G30" s="1512"/>
      <c r="H30" s="1512"/>
      <c r="I30" s="1512"/>
      <c r="J30" s="1512"/>
      <c r="K30" s="1512"/>
      <c r="L30" s="1512"/>
      <c r="M30" s="1513"/>
      <c r="N30" s="1514"/>
      <c r="O30" s="149"/>
      <c r="P30" s="150"/>
      <c r="Q30" s="151"/>
    </row>
    <row r="31" spans="1:17" s="158" customFormat="1" ht="17.100000000000001" customHeight="1" x14ac:dyDescent="0.25">
      <c r="A31" s="1521" t="s">
        <v>91</v>
      </c>
      <c r="B31" s="155" t="s">
        <v>92</v>
      </c>
      <c r="C31" s="156"/>
      <c r="D31" s="157"/>
      <c r="E31" s="1522" t="s">
        <v>93</v>
      </c>
      <c r="F31" s="1522"/>
      <c r="G31" s="1523" t="s">
        <v>94</v>
      </c>
      <c r="H31" s="1522" t="s">
        <v>95</v>
      </c>
      <c r="I31" s="1522"/>
      <c r="J31" s="1522"/>
      <c r="K31" s="1524" t="s">
        <v>96</v>
      </c>
      <c r="L31" s="1524"/>
      <c r="M31" s="1524"/>
      <c r="N31" s="1524"/>
      <c r="O31" s="1524"/>
      <c r="P31" s="1524"/>
      <c r="Q31" s="1524"/>
    </row>
    <row r="32" spans="1:17" s="158" customFormat="1" ht="20.100000000000001" customHeight="1" x14ac:dyDescent="0.25">
      <c r="A32" s="1521"/>
      <c r="B32" s="1525" t="s">
        <v>48</v>
      </c>
      <c r="C32" s="1525"/>
      <c r="D32" s="1525"/>
      <c r="E32" s="1522"/>
      <c r="F32" s="1522"/>
      <c r="G32" s="1523"/>
      <c r="H32" s="1522"/>
      <c r="I32" s="1522"/>
      <c r="J32" s="1522"/>
      <c r="K32" s="1518" t="s">
        <v>97</v>
      </c>
      <c r="L32" s="1518"/>
      <c r="M32" s="1518"/>
      <c r="N32" s="1504" t="s">
        <v>44</v>
      </c>
      <c r="O32" s="1504"/>
      <c r="P32" s="1505" t="s">
        <v>98</v>
      </c>
      <c r="Q32" s="1506" t="s">
        <v>99</v>
      </c>
    </row>
    <row r="33" spans="1:17" s="158" customFormat="1" ht="20.100000000000001" customHeight="1" x14ac:dyDescent="0.25">
      <c r="A33" s="1521"/>
      <c r="B33" s="1518" t="s">
        <v>100</v>
      </c>
      <c r="C33" s="1518"/>
      <c r="D33" s="1518"/>
      <c r="E33" s="1522"/>
      <c r="F33" s="1522"/>
      <c r="G33" s="1523"/>
      <c r="H33" s="1522"/>
      <c r="I33" s="1522"/>
      <c r="J33" s="1522"/>
      <c r="K33" s="1505" t="s">
        <v>101</v>
      </c>
      <c r="L33" s="1505" t="s">
        <v>102</v>
      </c>
      <c r="M33" s="1519" t="s">
        <v>103</v>
      </c>
      <c r="N33" s="1518" t="s">
        <v>104</v>
      </c>
      <c r="O33" s="1518"/>
      <c r="P33" s="1505"/>
      <c r="Q33" s="1506"/>
    </row>
    <row r="34" spans="1:17" s="158" customFormat="1" ht="32.25" customHeight="1" x14ac:dyDescent="0.25">
      <c r="A34" s="1521"/>
      <c r="B34" s="161" t="s">
        <v>105</v>
      </c>
      <c r="C34" s="161" t="s">
        <v>106</v>
      </c>
      <c r="D34" s="161" t="s">
        <v>107</v>
      </c>
      <c r="E34" s="160" t="s">
        <v>108</v>
      </c>
      <c r="F34" s="160" t="s">
        <v>109</v>
      </c>
      <c r="G34" s="1523"/>
      <c r="H34" s="160" t="s">
        <v>110</v>
      </c>
      <c r="I34" s="159" t="s">
        <v>111</v>
      </c>
      <c r="J34" s="159" t="s">
        <v>112</v>
      </c>
      <c r="K34" s="1505"/>
      <c r="L34" s="1505"/>
      <c r="M34" s="1519"/>
      <c r="N34" s="160" t="s">
        <v>113</v>
      </c>
      <c r="O34" s="160" t="s">
        <v>114</v>
      </c>
      <c r="P34" s="1505"/>
      <c r="Q34" s="1506"/>
    </row>
    <row r="35" spans="1:17" s="172" customFormat="1" ht="8.1" customHeight="1" x14ac:dyDescent="0.25">
      <c r="A35" s="162"/>
      <c r="B35" s="163"/>
      <c r="C35" s="164"/>
      <c r="D35" s="164"/>
      <c r="E35" s="165"/>
      <c r="F35" s="165"/>
      <c r="G35" s="166"/>
      <c r="H35" s="167"/>
      <c r="I35" s="167"/>
      <c r="J35" s="167"/>
      <c r="K35" s="168"/>
      <c r="L35" s="167"/>
      <c r="M35" s="169"/>
      <c r="N35" s="170"/>
      <c r="O35" s="170"/>
      <c r="P35" s="170"/>
      <c r="Q35" s="171"/>
    </row>
    <row r="36" spans="1:17" s="172" customFormat="1" ht="12.75" customHeight="1" x14ac:dyDescent="0.25">
      <c r="A36" s="173"/>
      <c r="B36" s="174"/>
      <c r="C36" s="175"/>
      <c r="D36" s="175"/>
      <c r="E36" s="176">
        <v>0</v>
      </c>
      <c r="F36" s="177"/>
      <c r="G36" s="178"/>
      <c r="H36" s="174"/>
      <c r="I36" s="174"/>
      <c r="J36" s="174"/>
      <c r="K36" s="179">
        <f t="shared" ref="K36:K66" si="0">F36-E36</f>
        <v>0</v>
      </c>
      <c r="L36" s="174"/>
      <c r="M36" s="180"/>
      <c r="N36" s="181">
        <f t="shared" ref="N36:N106" si="1">IF(L36="",K36*$K$28,IF($N$32="Seção cheia",(2*$N$28+3*L36)*L36*K36/2,(2*$N$28+3*L36)*L36*K36/4))</f>
        <v>0</v>
      </c>
      <c r="O36" s="181">
        <f t="shared" ref="O36:O106" si="2">N36+O35</f>
        <v>0</v>
      </c>
      <c r="P36" s="181">
        <f t="shared" ref="P36:P106" si="3">K36*$N$28</f>
        <v>0</v>
      </c>
      <c r="Q36" s="182">
        <f t="shared" ref="Q36:Q106" si="4">IF(M36="DMT≤50 (3ª Cat)",0,IF(H36="",IF($E$131="Sim",N36,0),N36))</f>
        <v>0</v>
      </c>
    </row>
    <row r="37" spans="1:17" s="172" customFormat="1" ht="32.4" customHeight="1" x14ac:dyDescent="0.25">
      <c r="A37" s="56">
        <v>1</v>
      </c>
      <c r="B37" s="183" t="s">
        <v>23</v>
      </c>
      <c r="C37" s="57">
        <v>203684.932</v>
      </c>
      <c r="D37" s="57">
        <v>9768248.4350000005</v>
      </c>
      <c r="E37" s="184"/>
      <c r="F37" s="185">
        <v>9.9999999999999994E-12</v>
      </c>
      <c r="G37" s="65" t="s">
        <v>115</v>
      </c>
      <c r="H37" s="186"/>
      <c r="I37" s="186"/>
      <c r="J37" s="186"/>
      <c r="K37" s="187">
        <f t="shared" si="0"/>
        <v>9.9999999999999994E-12</v>
      </c>
      <c r="L37" s="188"/>
      <c r="M37" s="189"/>
      <c r="N37" s="190">
        <f t="shared" si="1"/>
        <v>9.028870933416983E-12</v>
      </c>
      <c r="O37" s="190">
        <f t="shared" si="2"/>
        <v>9.028870933416983E-12</v>
      </c>
      <c r="P37" s="190">
        <f t="shared" si="3"/>
        <v>6.2999999999999989E-11</v>
      </c>
      <c r="Q37" s="190">
        <f t="shared" si="4"/>
        <v>9.028870933416983E-12</v>
      </c>
    </row>
    <row r="38" spans="1:17" s="172" customFormat="1" ht="24" customHeight="1" x14ac:dyDescent="0.25">
      <c r="A38" s="56"/>
      <c r="B38" s="183"/>
      <c r="C38" s="57"/>
      <c r="D38" s="57"/>
      <c r="E38" s="184">
        <f t="shared" ref="E38:E66" si="5">F37</f>
        <v>9.9999999999999994E-12</v>
      </c>
      <c r="F38" s="185">
        <v>500</v>
      </c>
      <c r="G38" s="65" t="s">
        <v>116</v>
      </c>
      <c r="H38" s="186"/>
      <c r="I38" s="186"/>
      <c r="J38" s="186"/>
      <c r="K38" s="187">
        <f t="shared" si="0"/>
        <v>499.99999999999</v>
      </c>
      <c r="L38" s="188"/>
      <c r="M38" s="189" t="s">
        <v>41</v>
      </c>
      <c r="N38" s="190">
        <f t="shared" si="1"/>
        <v>451.44354667084013</v>
      </c>
      <c r="O38" s="190">
        <f t="shared" si="2"/>
        <v>451.44354667084917</v>
      </c>
      <c r="P38" s="190">
        <f t="shared" si="3"/>
        <v>3149.9999999999368</v>
      </c>
      <c r="Q38" s="190">
        <f t="shared" si="4"/>
        <v>451.44354667084013</v>
      </c>
    </row>
    <row r="39" spans="1:17" s="172" customFormat="1" ht="33.9" customHeight="1" x14ac:dyDescent="0.25">
      <c r="A39" s="56">
        <v>2</v>
      </c>
      <c r="B39" s="183" t="s">
        <v>23</v>
      </c>
      <c r="C39" s="57">
        <v>203587.791</v>
      </c>
      <c r="D39" s="57">
        <v>9767504.1349999998</v>
      </c>
      <c r="E39" s="184">
        <f t="shared" si="5"/>
        <v>500</v>
      </c>
      <c r="F39" s="185">
        <v>800</v>
      </c>
      <c r="G39" s="65" t="s">
        <v>117</v>
      </c>
      <c r="H39" s="186" t="s">
        <v>78</v>
      </c>
      <c r="I39" s="191">
        <v>18</v>
      </c>
      <c r="J39" s="186">
        <v>4</v>
      </c>
      <c r="K39" s="187">
        <f t="shared" si="0"/>
        <v>300</v>
      </c>
      <c r="L39" s="188">
        <v>2</v>
      </c>
      <c r="M39" s="189" t="s">
        <v>50</v>
      </c>
      <c r="N39" s="190">
        <f t="shared" si="1"/>
        <v>2790</v>
      </c>
      <c r="O39" s="190">
        <f t="shared" si="2"/>
        <v>3241.4435466708492</v>
      </c>
      <c r="P39" s="190">
        <f t="shared" si="3"/>
        <v>1890</v>
      </c>
      <c r="Q39" s="190">
        <f t="shared" si="4"/>
        <v>2790</v>
      </c>
    </row>
    <row r="40" spans="1:17" s="172" customFormat="1" ht="21.75" customHeight="1" x14ac:dyDescent="0.25">
      <c r="A40" s="56">
        <v>3</v>
      </c>
      <c r="B40" s="183" t="s">
        <v>23</v>
      </c>
      <c r="C40" s="57">
        <v>203561.106</v>
      </c>
      <c r="D40" s="57">
        <v>9767224.5830000006</v>
      </c>
      <c r="E40" s="184">
        <f t="shared" si="5"/>
        <v>800</v>
      </c>
      <c r="F40" s="185">
        <v>1000</v>
      </c>
      <c r="G40" s="65" t="s">
        <v>118</v>
      </c>
      <c r="H40" s="186"/>
      <c r="I40" s="186"/>
      <c r="J40" s="186"/>
      <c r="K40" s="187">
        <f t="shared" si="0"/>
        <v>200</v>
      </c>
      <c r="L40" s="188"/>
      <c r="M40" s="189" t="s">
        <v>41</v>
      </c>
      <c r="N40" s="190">
        <f t="shared" si="1"/>
        <v>180.57741866833967</v>
      </c>
      <c r="O40" s="190">
        <f t="shared" si="2"/>
        <v>3422.0209653391889</v>
      </c>
      <c r="P40" s="190">
        <f t="shared" si="3"/>
        <v>1260</v>
      </c>
      <c r="Q40" s="190">
        <f t="shared" si="4"/>
        <v>180.57741866833967</v>
      </c>
    </row>
    <row r="41" spans="1:17" s="172" customFormat="1" ht="28.35" customHeight="1" x14ac:dyDescent="0.25">
      <c r="A41" s="56">
        <v>4</v>
      </c>
      <c r="B41" s="183" t="s">
        <v>23</v>
      </c>
      <c r="C41" s="57">
        <v>203456.57500000001</v>
      </c>
      <c r="D41" s="57">
        <v>9767224.4039999992</v>
      </c>
      <c r="E41" s="184">
        <f t="shared" si="5"/>
        <v>1000</v>
      </c>
      <c r="F41" s="185">
        <v>1200</v>
      </c>
      <c r="G41" s="65" t="s">
        <v>119</v>
      </c>
      <c r="H41" s="186" t="s">
        <v>54</v>
      </c>
      <c r="I41" s="186">
        <v>9</v>
      </c>
      <c r="J41" s="186">
        <v>2</v>
      </c>
      <c r="K41" s="187">
        <f t="shared" si="0"/>
        <v>200</v>
      </c>
      <c r="L41" s="188">
        <v>2</v>
      </c>
      <c r="M41" s="189" t="s">
        <v>50</v>
      </c>
      <c r="N41" s="190">
        <f t="shared" si="1"/>
        <v>1860.0000000000002</v>
      </c>
      <c r="O41" s="190">
        <f t="shared" si="2"/>
        <v>5282.0209653391894</v>
      </c>
      <c r="P41" s="190">
        <f t="shared" si="3"/>
        <v>1260</v>
      </c>
      <c r="Q41" s="190">
        <f t="shared" si="4"/>
        <v>1860.0000000000002</v>
      </c>
    </row>
    <row r="42" spans="1:17" s="172" customFormat="1" ht="17.100000000000001" customHeight="1" x14ac:dyDescent="0.25">
      <c r="A42" s="56"/>
      <c r="B42" s="183"/>
      <c r="C42" s="57"/>
      <c r="D42" s="57"/>
      <c r="E42" s="184">
        <f t="shared" si="5"/>
        <v>1200</v>
      </c>
      <c r="F42" s="185">
        <v>1350</v>
      </c>
      <c r="G42" s="65" t="s">
        <v>116</v>
      </c>
      <c r="H42" s="186"/>
      <c r="I42" s="186"/>
      <c r="J42" s="186"/>
      <c r="K42" s="187">
        <f t="shared" si="0"/>
        <v>150</v>
      </c>
      <c r="L42" s="188"/>
      <c r="M42" s="189" t="s">
        <v>41</v>
      </c>
      <c r="N42" s="190">
        <f t="shared" si="1"/>
        <v>135.43306400125476</v>
      </c>
      <c r="O42" s="190">
        <f t="shared" si="2"/>
        <v>5417.4540293404443</v>
      </c>
      <c r="P42" s="190">
        <f t="shared" si="3"/>
        <v>945</v>
      </c>
      <c r="Q42" s="190">
        <f t="shared" si="4"/>
        <v>135.43306400125476</v>
      </c>
    </row>
    <row r="43" spans="1:17" s="172" customFormat="1" ht="31.5" customHeight="1" x14ac:dyDescent="0.25">
      <c r="A43" s="56">
        <v>5</v>
      </c>
      <c r="B43" s="183" t="s">
        <v>23</v>
      </c>
      <c r="C43" s="57">
        <v>203128.68799999999</v>
      </c>
      <c r="D43" s="57">
        <v>9767250.4000000004</v>
      </c>
      <c r="E43" s="184">
        <f t="shared" si="5"/>
        <v>1350</v>
      </c>
      <c r="F43" s="185">
        <v>1450</v>
      </c>
      <c r="G43" s="65" t="s">
        <v>120</v>
      </c>
      <c r="H43" s="186" t="s">
        <v>47</v>
      </c>
      <c r="I43" s="186">
        <v>8</v>
      </c>
      <c r="J43" s="186">
        <v>2</v>
      </c>
      <c r="K43" s="187">
        <f t="shared" si="0"/>
        <v>100</v>
      </c>
      <c r="L43" s="188">
        <v>1.2</v>
      </c>
      <c r="M43" s="189" t="s">
        <v>50</v>
      </c>
      <c r="N43" s="190">
        <f t="shared" si="1"/>
        <v>485.99999999999994</v>
      </c>
      <c r="O43" s="190">
        <f t="shared" si="2"/>
        <v>5903.4540293404443</v>
      </c>
      <c r="P43" s="190">
        <f t="shared" si="3"/>
        <v>630</v>
      </c>
      <c r="Q43" s="190">
        <f t="shared" si="4"/>
        <v>485.99999999999994</v>
      </c>
    </row>
    <row r="44" spans="1:17" s="172" customFormat="1" ht="30.75" customHeight="1" x14ac:dyDescent="0.25">
      <c r="A44" s="56">
        <v>6</v>
      </c>
      <c r="B44" s="183" t="s">
        <v>23</v>
      </c>
      <c r="C44" s="57">
        <v>203038.943</v>
      </c>
      <c r="D44" s="57">
        <v>9767261.4220000003</v>
      </c>
      <c r="E44" s="184">
        <f t="shared" si="5"/>
        <v>1450</v>
      </c>
      <c r="F44" s="185">
        <v>1550</v>
      </c>
      <c r="G44" s="65" t="s">
        <v>120</v>
      </c>
      <c r="H44" s="186" t="s">
        <v>47</v>
      </c>
      <c r="I44" s="186">
        <v>8</v>
      </c>
      <c r="J44" s="186">
        <v>2</v>
      </c>
      <c r="K44" s="187">
        <f t="shared" si="0"/>
        <v>100</v>
      </c>
      <c r="L44" s="188">
        <v>1.2</v>
      </c>
      <c r="M44" s="189" t="s">
        <v>50</v>
      </c>
      <c r="N44" s="190">
        <f t="shared" si="1"/>
        <v>485.99999999999994</v>
      </c>
      <c r="O44" s="190">
        <f t="shared" si="2"/>
        <v>6389.4540293404443</v>
      </c>
      <c r="P44" s="190">
        <f t="shared" si="3"/>
        <v>630</v>
      </c>
      <c r="Q44" s="190">
        <f t="shared" si="4"/>
        <v>485.99999999999994</v>
      </c>
    </row>
    <row r="45" spans="1:17" s="172" customFormat="1" ht="22.5" customHeight="1" x14ac:dyDescent="0.25">
      <c r="A45" s="56"/>
      <c r="B45" s="183"/>
      <c r="C45" s="57"/>
      <c r="D45" s="57"/>
      <c r="E45" s="184">
        <f t="shared" si="5"/>
        <v>1550</v>
      </c>
      <c r="F45" s="185">
        <v>1700</v>
      </c>
      <c r="G45" s="65" t="s">
        <v>116</v>
      </c>
      <c r="H45" s="186"/>
      <c r="I45" s="186"/>
      <c r="J45" s="186"/>
      <c r="K45" s="187">
        <f t="shared" si="0"/>
        <v>150</v>
      </c>
      <c r="L45" s="188"/>
      <c r="M45" s="189" t="s">
        <v>41</v>
      </c>
      <c r="N45" s="190">
        <f t="shared" si="1"/>
        <v>135.43306400125476</v>
      </c>
      <c r="O45" s="190">
        <f t="shared" si="2"/>
        <v>6524.8870933416993</v>
      </c>
      <c r="P45" s="190">
        <f t="shared" si="3"/>
        <v>945</v>
      </c>
      <c r="Q45" s="190">
        <f t="shared" si="4"/>
        <v>135.43306400125476</v>
      </c>
    </row>
    <row r="46" spans="1:17" s="172" customFormat="1" ht="29.25" customHeight="1" x14ac:dyDescent="0.25">
      <c r="A46" s="56">
        <v>7</v>
      </c>
      <c r="B46" s="183" t="s">
        <v>23</v>
      </c>
      <c r="C46" s="57">
        <v>202729.86799999999</v>
      </c>
      <c r="D46" s="57">
        <v>9767287.6710000001</v>
      </c>
      <c r="E46" s="184">
        <f t="shared" si="5"/>
        <v>1700</v>
      </c>
      <c r="F46" s="185">
        <v>1900</v>
      </c>
      <c r="G46" s="65" t="s">
        <v>119</v>
      </c>
      <c r="H46" s="186" t="s">
        <v>54</v>
      </c>
      <c r="I46" s="186">
        <v>9</v>
      </c>
      <c r="J46" s="186">
        <v>2</v>
      </c>
      <c r="K46" s="187">
        <f t="shared" si="0"/>
        <v>200</v>
      </c>
      <c r="L46" s="188">
        <v>2</v>
      </c>
      <c r="M46" s="189" t="s">
        <v>50</v>
      </c>
      <c r="N46" s="190">
        <f t="shared" si="1"/>
        <v>1860.0000000000002</v>
      </c>
      <c r="O46" s="190">
        <f t="shared" si="2"/>
        <v>8384.8870933417002</v>
      </c>
      <c r="P46" s="190">
        <f t="shared" si="3"/>
        <v>1260</v>
      </c>
      <c r="Q46" s="192">
        <f t="shared" si="4"/>
        <v>1860.0000000000002</v>
      </c>
    </row>
    <row r="47" spans="1:17" s="172" customFormat="1" ht="29.25" customHeight="1" x14ac:dyDescent="0.25">
      <c r="A47" s="56">
        <v>8</v>
      </c>
      <c r="B47" s="183" t="s">
        <v>23</v>
      </c>
      <c r="C47" s="57">
        <v>202407.63699999999</v>
      </c>
      <c r="D47" s="57">
        <v>9767324.852</v>
      </c>
      <c r="E47" s="184">
        <f t="shared" si="5"/>
        <v>1900</v>
      </c>
      <c r="F47" s="185">
        <v>2100</v>
      </c>
      <c r="G47" s="65" t="s">
        <v>121</v>
      </c>
      <c r="H47" s="186"/>
      <c r="I47" s="186"/>
      <c r="J47" s="186"/>
      <c r="K47" s="187">
        <f t="shared" si="0"/>
        <v>200</v>
      </c>
      <c r="L47" s="188"/>
      <c r="M47" s="189" t="s">
        <v>41</v>
      </c>
      <c r="N47" s="190">
        <f t="shared" si="1"/>
        <v>180.57741866833967</v>
      </c>
      <c r="O47" s="190">
        <f t="shared" si="2"/>
        <v>8565.4645120100395</v>
      </c>
      <c r="P47" s="190">
        <f t="shared" si="3"/>
        <v>1260</v>
      </c>
      <c r="Q47" s="192">
        <f t="shared" si="4"/>
        <v>180.57741866833967</v>
      </c>
    </row>
    <row r="48" spans="1:17" s="172" customFormat="1" ht="27.6" customHeight="1" x14ac:dyDescent="0.25">
      <c r="A48" s="56">
        <v>9</v>
      </c>
      <c r="B48" s="183" t="s">
        <v>23</v>
      </c>
      <c r="C48" s="57">
        <v>202366.89199999999</v>
      </c>
      <c r="D48" s="57">
        <v>9767325.3350000009</v>
      </c>
      <c r="E48" s="184">
        <f t="shared" si="5"/>
        <v>2100</v>
      </c>
      <c r="F48" s="185">
        <v>2200</v>
      </c>
      <c r="G48" s="65" t="s">
        <v>120</v>
      </c>
      <c r="H48" s="186" t="s">
        <v>47</v>
      </c>
      <c r="I48" s="186">
        <v>8</v>
      </c>
      <c r="J48" s="186">
        <v>2</v>
      </c>
      <c r="K48" s="187">
        <f t="shared" si="0"/>
        <v>100</v>
      </c>
      <c r="L48" s="188">
        <v>1.2</v>
      </c>
      <c r="M48" s="189" t="s">
        <v>50</v>
      </c>
      <c r="N48" s="190">
        <f t="shared" si="1"/>
        <v>485.99999999999994</v>
      </c>
      <c r="O48" s="190">
        <f t="shared" si="2"/>
        <v>9051.4645120100395</v>
      </c>
      <c r="P48" s="190">
        <f t="shared" si="3"/>
        <v>630</v>
      </c>
      <c r="Q48" s="192">
        <f t="shared" si="4"/>
        <v>485.99999999999994</v>
      </c>
    </row>
    <row r="49" spans="1:17" s="172" customFormat="1" ht="22.2" customHeight="1" x14ac:dyDescent="0.25">
      <c r="A49" s="56"/>
      <c r="B49" s="183"/>
      <c r="C49" s="57"/>
      <c r="D49" s="57"/>
      <c r="E49" s="184">
        <f t="shared" si="5"/>
        <v>2200</v>
      </c>
      <c r="F49" s="185">
        <f>E49+300</f>
        <v>2500</v>
      </c>
      <c r="G49" s="65" t="s">
        <v>116</v>
      </c>
      <c r="H49" s="186"/>
      <c r="I49" s="186"/>
      <c r="J49" s="186"/>
      <c r="K49" s="187">
        <f t="shared" si="0"/>
        <v>300</v>
      </c>
      <c r="L49" s="188"/>
      <c r="M49" s="189" t="s">
        <v>41</v>
      </c>
      <c r="N49" s="190">
        <f t="shared" si="1"/>
        <v>270.86612800250953</v>
      </c>
      <c r="O49" s="190">
        <f t="shared" si="2"/>
        <v>9322.3306400125493</v>
      </c>
      <c r="P49" s="190">
        <f t="shared" si="3"/>
        <v>1890</v>
      </c>
      <c r="Q49" s="192">
        <f t="shared" si="4"/>
        <v>270.86612800250953</v>
      </c>
    </row>
    <row r="50" spans="1:17" s="172" customFormat="1" ht="33.15" customHeight="1" x14ac:dyDescent="0.25">
      <c r="A50" s="56">
        <v>10</v>
      </c>
      <c r="B50" s="183" t="s">
        <v>23</v>
      </c>
      <c r="C50" s="57">
        <v>201883.459</v>
      </c>
      <c r="D50" s="57">
        <v>9767365.1150000002</v>
      </c>
      <c r="E50" s="184">
        <f t="shared" si="5"/>
        <v>2500</v>
      </c>
      <c r="F50" s="185">
        <v>2650</v>
      </c>
      <c r="G50" s="65" t="s">
        <v>119</v>
      </c>
      <c r="H50" s="186" t="s">
        <v>54</v>
      </c>
      <c r="I50" s="186">
        <v>9</v>
      </c>
      <c r="J50" s="186">
        <v>2</v>
      </c>
      <c r="K50" s="187">
        <f t="shared" si="0"/>
        <v>150</v>
      </c>
      <c r="L50" s="188">
        <v>2</v>
      </c>
      <c r="M50" s="189" t="s">
        <v>50</v>
      </c>
      <c r="N50" s="190">
        <f t="shared" si="1"/>
        <v>1395</v>
      </c>
      <c r="O50" s="190">
        <f t="shared" si="2"/>
        <v>10717.330640012549</v>
      </c>
      <c r="P50" s="190">
        <f t="shared" si="3"/>
        <v>945</v>
      </c>
      <c r="Q50" s="192">
        <f t="shared" si="4"/>
        <v>1395</v>
      </c>
    </row>
    <row r="51" spans="1:17" s="172" customFormat="1" ht="21.45" customHeight="1" x14ac:dyDescent="0.25">
      <c r="A51" s="56"/>
      <c r="B51" s="183"/>
      <c r="C51" s="57"/>
      <c r="D51" s="57"/>
      <c r="E51" s="184">
        <f t="shared" si="5"/>
        <v>2650</v>
      </c>
      <c r="F51" s="185">
        <v>2750</v>
      </c>
      <c r="G51" s="65" t="s">
        <v>116</v>
      </c>
      <c r="H51" s="186"/>
      <c r="I51" s="193"/>
      <c r="J51" s="186"/>
      <c r="K51" s="187">
        <f t="shared" si="0"/>
        <v>100</v>
      </c>
      <c r="L51" s="188"/>
      <c r="M51" s="189" t="s">
        <v>41</v>
      </c>
      <c r="N51" s="190">
        <f t="shared" si="1"/>
        <v>90.288709334169837</v>
      </c>
      <c r="O51" s="190">
        <f t="shared" si="2"/>
        <v>10807.61934934672</v>
      </c>
      <c r="P51" s="190">
        <f t="shared" si="3"/>
        <v>630</v>
      </c>
      <c r="Q51" s="192">
        <f t="shared" si="4"/>
        <v>90.288709334169837</v>
      </c>
    </row>
    <row r="52" spans="1:17" s="172" customFormat="1" ht="27.6" customHeight="1" x14ac:dyDescent="0.25">
      <c r="A52" s="56">
        <v>11</v>
      </c>
      <c r="B52" s="183" t="s">
        <v>23</v>
      </c>
      <c r="C52" s="57">
        <v>201711.74799999999</v>
      </c>
      <c r="D52" s="57">
        <v>9767394.6970000006</v>
      </c>
      <c r="E52" s="184">
        <f t="shared" si="5"/>
        <v>2750</v>
      </c>
      <c r="F52" s="185">
        <v>2900</v>
      </c>
      <c r="G52" s="65" t="s">
        <v>119</v>
      </c>
      <c r="H52" s="186" t="s">
        <v>54</v>
      </c>
      <c r="I52" s="186">
        <v>9</v>
      </c>
      <c r="J52" s="186">
        <v>2</v>
      </c>
      <c r="K52" s="187">
        <f t="shared" si="0"/>
        <v>150</v>
      </c>
      <c r="L52" s="188">
        <v>2</v>
      </c>
      <c r="M52" s="189" t="s">
        <v>50</v>
      </c>
      <c r="N52" s="190">
        <f t="shared" si="1"/>
        <v>1395</v>
      </c>
      <c r="O52" s="190">
        <f t="shared" si="2"/>
        <v>12202.61934934672</v>
      </c>
      <c r="P52" s="190">
        <f t="shared" si="3"/>
        <v>945</v>
      </c>
      <c r="Q52" s="192">
        <f t="shared" si="4"/>
        <v>1395</v>
      </c>
    </row>
    <row r="53" spans="1:17" s="172" customFormat="1" ht="19.649999999999999" customHeight="1" x14ac:dyDescent="0.25">
      <c r="A53" s="56"/>
      <c r="B53" s="183"/>
      <c r="C53" s="57"/>
      <c r="D53" s="57"/>
      <c r="E53" s="184">
        <f t="shared" si="5"/>
        <v>2900</v>
      </c>
      <c r="F53" s="185">
        <v>3050</v>
      </c>
      <c r="G53" s="65" t="s">
        <v>116</v>
      </c>
      <c r="H53" s="186"/>
      <c r="I53" s="186"/>
      <c r="J53" s="186"/>
      <c r="K53" s="187">
        <f t="shared" si="0"/>
        <v>150</v>
      </c>
      <c r="L53" s="188"/>
      <c r="M53" s="189" t="s">
        <v>41</v>
      </c>
      <c r="N53" s="190">
        <f t="shared" si="1"/>
        <v>135.43306400125476</v>
      </c>
      <c r="O53" s="190">
        <f t="shared" si="2"/>
        <v>12338.052413347974</v>
      </c>
      <c r="P53" s="190">
        <f t="shared" si="3"/>
        <v>945</v>
      </c>
      <c r="Q53" s="192">
        <f t="shared" si="4"/>
        <v>135.43306400125476</v>
      </c>
    </row>
    <row r="54" spans="1:17" s="172" customFormat="1" ht="26.85" customHeight="1" x14ac:dyDescent="0.25">
      <c r="A54" s="56">
        <v>12</v>
      </c>
      <c r="B54" s="183" t="s">
        <v>23</v>
      </c>
      <c r="C54" s="57">
        <v>201412.16399999999</v>
      </c>
      <c r="D54" s="57">
        <v>9767402.2589999996</v>
      </c>
      <c r="E54" s="184">
        <f t="shared" si="5"/>
        <v>3050</v>
      </c>
      <c r="F54" s="185">
        <f>E54+200</f>
        <v>3250</v>
      </c>
      <c r="G54" s="65" t="s">
        <v>120</v>
      </c>
      <c r="H54" s="186" t="s">
        <v>47</v>
      </c>
      <c r="I54" s="186">
        <v>8</v>
      </c>
      <c r="J54" s="186">
        <v>2</v>
      </c>
      <c r="K54" s="187">
        <f t="shared" si="0"/>
        <v>200</v>
      </c>
      <c r="L54" s="188">
        <v>1.2</v>
      </c>
      <c r="M54" s="189" t="s">
        <v>50</v>
      </c>
      <c r="N54" s="190">
        <f t="shared" si="1"/>
        <v>971.99999999999989</v>
      </c>
      <c r="O54" s="190">
        <f t="shared" si="2"/>
        <v>13310.052413347974</v>
      </c>
      <c r="P54" s="190">
        <f t="shared" si="3"/>
        <v>1260</v>
      </c>
      <c r="Q54" s="192">
        <f t="shared" si="4"/>
        <v>971.99999999999989</v>
      </c>
    </row>
    <row r="55" spans="1:17" s="172" customFormat="1" ht="19.649999999999999" customHeight="1" x14ac:dyDescent="0.25">
      <c r="A55" s="56"/>
      <c r="B55" s="183"/>
      <c r="C55" s="57"/>
      <c r="D55" s="57"/>
      <c r="E55" s="184">
        <f t="shared" si="5"/>
        <v>3250</v>
      </c>
      <c r="F55" s="185">
        <v>3500</v>
      </c>
      <c r="G55" s="65" t="s">
        <v>116</v>
      </c>
      <c r="H55" s="186"/>
      <c r="I55" s="186"/>
      <c r="J55" s="186"/>
      <c r="K55" s="187">
        <f t="shared" si="0"/>
        <v>250</v>
      </c>
      <c r="L55" s="188"/>
      <c r="M55" s="189" t="s">
        <v>41</v>
      </c>
      <c r="N55" s="190">
        <f t="shared" si="1"/>
        <v>225.72177333542459</v>
      </c>
      <c r="O55" s="190">
        <f t="shared" si="2"/>
        <v>13535.774186683399</v>
      </c>
      <c r="P55" s="190">
        <f t="shared" si="3"/>
        <v>1575</v>
      </c>
      <c r="Q55" s="192">
        <f t="shared" si="4"/>
        <v>225.72177333542459</v>
      </c>
    </row>
    <row r="56" spans="1:17" s="172" customFormat="1" ht="28.35" customHeight="1" x14ac:dyDescent="0.25">
      <c r="A56" s="56">
        <v>13</v>
      </c>
      <c r="B56" s="183" t="s">
        <v>23</v>
      </c>
      <c r="C56" s="57">
        <v>200840.83799999999</v>
      </c>
      <c r="D56" s="57">
        <v>9767409.2430000007</v>
      </c>
      <c r="E56" s="184">
        <f t="shared" si="5"/>
        <v>3500</v>
      </c>
      <c r="F56" s="185">
        <v>3700</v>
      </c>
      <c r="G56" s="65" t="s">
        <v>119</v>
      </c>
      <c r="H56" s="186" t="s">
        <v>54</v>
      </c>
      <c r="I56" s="186">
        <v>9</v>
      </c>
      <c r="J56" s="186">
        <v>2</v>
      </c>
      <c r="K56" s="187">
        <f t="shared" si="0"/>
        <v>200</v>
      </c>
      <c r="L56" s="188">
        <v>2</v>
      </c>
      <c r="M56" s="189" t="s">
        <v>50</v>
      </c>
      <c r="N56" s="190">
        <f t="shared" si="1"/>
        <v>1860.0000000000002</v>
      </c>
      <c r="O56" s="190">
        <f t="shared" si="2"/>
        <v>15395.774186683399</v>
      </c>
      <c r="P56" s="190">
        <f t="shared" si="3"/>
        <v>1260</v>
      </c>
      <c r="Q56" s="192">
        <f t="shared" si="4"/>
        <v>1860.0000000000002</v>
      </c>
    </row>
    <row r="57" spans="1:17" s="172" customFormat="1" ht="20.399999999999999" customHeight="1" x14ac:dyDescent="0.25">
      <c r="A57" s="56"/>
      <c r="B57" s="183"/>
      <c r="C57" s="57"/>
      <c r="D57" s="57"/>
      <c r="E57" s="184">
        <f t="shared" si="5"/>
        <v>3700</v>
      </c>
      <c r="F57" s="185">
        <v>3850</v>
      </c>
      <c r="G57" s="65" t="s">
        <v>116</v>
      </c>
      <c r="H57" s="186"/>
      <c r="I57" s="186"/>
      <c r="J57" s="186"/>
      <c r="K57" s="187">
        <f t="shared" si="0"/>
        <v>150</v>
      </c>
      <c r="L57" s="188"/>
      <c r="M57" s="189" t="s">
        <v>41</v>
      </c>
      <c r="N57" s="190">
        <f t="shared" si="1"/>
        <v>135.43306400125476</v>
      </c>
      <c r="O57" s="190">
        <f t="shared" si="2"/>
        <v>15531.207250684653</v>
      </c>
      <c r="P57" s="190">
        <f t="shared" si="3"/>
        <v>945</v>
      </c>
      <c r="Q57" s="192">
        <f t="shared" si="4"/>
        <v>135.43306400125476</v>
      </c>
    </row>
    <row r="58" spans="1:17" s="172" customFormat="1" ht="26.1" customHeight="1" x14ac:dyDescent="0.25">
      <c r="A58" s="56">
        <v>14</v>
      </c>
      <c r="B58" s="183" t="s">
        <v>23</v>
      </c>
      <c r="C58" s="57">
        <v>200728.72200000001</v>
      </c>
      <c r="D58" s="57">
        <v>9767093.7960000001</v>
      </c>
      <c r="E58" s="184">
        <f t="shared" si="5"/>
        <v>3850</v>
      </c>
      <c r="F58" s="185">
        <v>3950</v>
      </c>
      <c r="G58" s="65" t="s">
        <v>120</v>
      </c>
      <c r="H58" s="186" t="s">
        <v>47</v>
      </c>
      <c r="I58" s="186">
        <v>8</v>
      </c>
      <c r="J58" s="186">
        <v>2</v>
      </c>
      <c r="K58" s="187">
        <f t="shared" si="0"/>
        <v>100</v>
      </c>
      <c r="L58" s="188">
        <v>1.2</v>
      </c>
      <c r="M58" s="189" t="s">
        <v>50</v>
      </c>
      <c r="N58" s="190">
        <f t="shared" si="1"/>
        <v>485.99999999999994</v>
      </c>
      <c r="O58" s="190">
        <f t="shared" si="2"/>
        <v>16017.207250684653</v>
      </c>
      <c r="P58" s="190">
        <f t="shared" si="3"/>
        <v>630</v>
      </c>
      <c r="Q58" s="192">
        <f t="shared" si="4"/>
        <v>485.99999999999994</v>
      </c>
    </row>
    <row r="59" spans="1:17" s="172" customFormat="1" ht="20.399999999999999" customHeight="1" x14ac:dyDescent="0.25">
      <c r="A59" s="56"/>
      <c r="B59" s="183"/>
      <c r="C59" s="57"/>
      <c r="D59" s="57"/>
      <c r="E59" s="184">
        <f t="shared" si="5"/>
        <v>3950</v>
      </c>
      <c r="F59" s="185">
        <v>4150</v>
      </c>
      <c r="G59" s="65" t="s">
        <v>116</v>
      </c>
      <c r="H59" s="186"/>
      <c r="I59" s="186"/>
      <c r="J59" s="186"/>
      <c r="K59" s="187">
        <f t="shared" si="0"/>
        <v>200</v>
      </c>
      <c r="L59" s="188"/>
      <c r="M59" s="189" t="s">
        <v>41</v>
      </c>
      <c r="N59" s="190">
        <f t="shared" si="1"/>
        <v>180.57741866833967</v>
      </c>
      <c r="O59" s="190">
        <f t="shared" si="2"/>
        <v>16197.784669352992</v>
      </c>
      <c r="P59" s="190">
        <f t="shared" si="3"/>
        <v>1260</v>
      </c>
      <c r="Q59" s="192">
        <f t="shared" si="4"/>
        <v>180.57741866833967</v>
      </c>
    </row>
    <row r="60" spans="1:17" s="172" customFormat="1" ht="26.85" customHeight="1" x14ac:dyDescent="0.25">
      <c r="A60" s="194">
        <v>15</v>
      </c>
      <c r="B60" s="195" t="s">
        <v>23</v>
      </c>
      <c r="C60" s="196">
        <v>200667.033</v>
      </c>
      <c r="D60" s="197">
        <v>9766844.9379999992</v>
      </c>
      <c r="E60" s="184">
        <f t="shared" si="5"/>
        <v>4150</v>
      </c>
      <c r="F60" s="185">
        <v>4250</v>
      </c>
      <c r="G60" s="65" t="s">
        <v>120</v>
      </c>
      <c r="H60" s="186" t="s">
        <v>47</v>
      </c>
      <c r="I60" s="186">
        <v>8</v>
      </c>
      <c r="J60" s="186">
        <v>2</v>
      </c>
      <c r="K60" s="187">
        <f t="shared" si="0"/>
        <v>100</v>
      </c>
      <c r="L60" s="188">
        <v>1.2</v>
      </c>
      <c r="M60" s="189" t="s">
        <v>50</v>
      </c>
      <c r="N60" s="190">
        <f t="shared" si="1"/>
        <v>485.99999999999994</v>
      </c>
      <c r="O60" s="190">
        <f t="shared" si="2"/>
        <v>16683.78466935299</v>
      </c>
      <c r="P60" s="190">
        <f t="shared" si="3"/>
        <v>630</v>
      </c>
      <c r="Q60" s="192">
        <f t="shared" si="4"/>
        <v>485.99999999999994</v>
      </c>
    </row>
    <row r="61" spans="1:17" s="172" customFormat="1" ht="17.100000000000001" customHeight="1" x14ac:dyDescent="0.25">
      <c r="A61" s="56"/>
      <c r="B61" s="183"/>
      <c r="C61" s="57"/>
      <c r="D61" s="57"/>
      <c r="E61" s="184">
        <f t="shared" si="5"/>
        <v>4250</v>
      </c>
      <c r="F61" s="185">
        <v>4350</v>
      </c>
      <c r="G61" s="65" t="s">
        <v>116</v>
      </c>
      <c r="H61" s="186"/>
      <c r="I61" s="186"/>
      <c r="J61" s="186"/>
      <c r="K61" s="187">
        <f t="shared" si="0"/>
        <v>100</v>
      </c>
      <c r="L61" s="188"/>
      <c r="M61" s="189" t="s">
        <v>41</v>
      </c>
      <c r="N61" s="190">
        <f t="shared" si="1"/>
        <v>90.288709334169837</v>
      </c>
      <c r="O61" s="190">
        <f t="shared" si="2"/>
        <v>16774.073378687161</v>
      </c>
      <c r="P61" s="190">
        <f t="shared" si="3"/>
        <v>630</v>
      </c>
      <c r="Q61" s="192">
        <f t="shared" si="4"/>
        <v>90.288709334169837</v>
      </c>
    </row>
    <row r="62" spans="1:17" s="172" customFormat="1" ht="28.35" customHeight="1" x14ac:dyDescent="0.25">
      <c r="A62" s="56">
        <v>16</v>
      </c>
      <c r="B62" s="183" t="s">
        <v>23</v>
      </c>
      <c r="C62" s="198">
        <v>200458.88200000001</v>
      </c>
      <c r="D62" s="199">
        <v>9766637.7650000006</v>
      </c>
      <c r="E62" s="184">
        <f t="shared" si="5"/>
        <v>4350</v>
      </c>
      <c r="F62" s="185">
        <v>4550</v>
      </c>
      <c r="G62" s="65" t="s">
        <v>120</v>
      </c>
      <c r="H62" s="186" t="s">
        <v>47</v>
      </c>
      <c r="I62" s="186">
        <v>8</v>
      </c>
      <c r="J62" s="186">
        <v>2</v>
      </c>
      <c r="K62" s="187">
        <f t="shared" si="0"/>
        <v>200</v>
      </c>
      <c r="L62" s="188">
        <v>1.2</v>
      </c>
      <c r="M62" s="189" t="s">
        <v>50</v>
      </c>
      <c r="N62" s="190">
        <f t="shared" si="1"/>
        <v>971.99999999999989</v>
      </c>
      <c r="O62" s="190">
        <f t="shared" si="2"/>
        <v>17746.073378687161</v>
      </c>
      <c r="P62" s="190">
        <f t="shared" si="3"/>
        <v>1260</v>
      </c>
      <c r="Q62" s="192">
        <f t="shared" si="4"/>
        <v>971.99999999999989</v>
      </c>
    </row>
    <row r="63" spans="1:17" s="172" customFormat="1" ht="17.100000000000001" customHeight="1" x14ac:dyDescent="0.25">
      <c r="A63" s="56"/>
      <c r="B63" s="183"/>
      <c r="C63" s="57"/>
      <c r="D63" s="57"/>
      <c r="E63" s="184">
        <f t="shared" si="5"/>
        <v>4550</v>
      </c>
      <c r="F63" s="185">
        <v>4850</v>
      </c>
      <c r="G63" s="65" t="s">
        <v>116</v>
      </c>
      <c r="H63" s="186"/>
      <c r="I63" s="186"/>
      <c r="J63" s="186"/>
      <c r="K63" s="187">
        <f t="shared" si="0"/>
        <v>300</v>
      </c>
      <c r="L63" s="188"/>
      <c r="M63" s="189" t="s">
        <v>41</v>
      </c>
      <c r="N63" s="190">
        <f t="shared" si="1"/>
        <v>270.86612800250953</v>
      </c>
      <c r="O63" s="190">
        <f t="shared" si="2"/>
        <v>18016.939506689669</v>
      </c>
      <c r="P63" s="190">
        <f t="shared" si="3"/>
        <v>1890</v>
      </c>
      <c r="Q63" s="192">
        <f t="shared" si="4"/>
        <v>270.86612800250953</v>
      </c>
    </row>
    <row r="64" spans="1:17" s="172" customFormat="1" ht="27.6" customHeight="1" x14ac:dyDescent="0.25">
      <c r="A64" s="56">
        <v>17</v>
      </c>
      <c r="B64" s="183" t="s">
        <v>23</v>
      </c>
      <c r="C64" s="57">
        <v>200197.571</v>
      </c>
      <c r="D64" s="57">
        <v>9766979.0150000006</v>
      </c>
      <c r="E64" s="184">
        <f t="shared" si="5"/>
        <v>4850</v>
      </c>
      <c r="F64" s="185">
        <v>4950</v>
      </c>
      <c r="G64" s="65" t="s">
        <v>120</v>
      </c>
      <c r="H64" s="186" t="s">
        <v>47</v>
      </c>
      <c r="I64" s="186">
        <v>8</v>
      </c>
      <c r="J64" s="186">
        <v>2</v>
      </c>
      <c r="K64" s="187">
        <f t="shared" si="0"/>
        <v>100</v>
      </c>
      <c r="L64" s="188">
        <v>1.2</v>
      </c>
      <c r="M64" s="189" t="s">
        <v>50</v>
      </c>
      <c r="N64" s="190">
        <f t="shared" si="1"/>
        <v>485.99999999999994</v>
      </c>
      <c r="O64" s="190">
        <f t="shared" si="2"/>
        <v>18502.939506689669</v>
      </c>
      <c r="P64" s="190">
        <f t="shared" si="3"/>
        <v>630</v>
      </c>
      <c r="Q64" s="192">
        <f t="shared" si="4"/>
        <v>485.99999999999994</v>
      </c>
    </row>
    <row r="65" spans="1:17" s="172" customFormat="1" ht="26.85" customHeight="1" x14ac:dyDescent="0.25">
      <c r="A65" s="194">
        <v>18</v>
      </c>
      <c r="B65" s="183" t="s">
        <v>23</v>
      </c>
      <c r="C65" s="200">
        <v>200190.39199999999</v>
      </c>
      <c r="D65" s="200">
        <v>9767074.3870000001</v>
      </c>
      <c r="E65" s="184">
        <f t="shared" si="5"/>
        <v>4950</v>
      </c>
      <c r="F65" s="185">
        <v>5200</v>
      </c>
      <c r="G65" s="65" t="s">
        <v>117</v>
      </c>
      <c r="H65" s="191" t="s">
        <v>78</v>
      </c>
      <c r="I65" s="191">
        <v>10</v>
      </c>
      <c r="J65" s="191">
        <v>4</v>
      </c>
      <c r="K65" s="187">
        <f t="shared" si="0"/>
        <v>250</v>
      </c>
      <c r="L65" s="188">
        <v>2</v>
      </c>
      <c r="M65" s="189" t="s">
        <v>50</v>
      </c>
      <c r="N65" s="190">
        <f t="shared" si="1"/>
        <v>2325</v>
      </c>
      <c r="O65" s="190">
        <f t="shared" si="2"/>
        <v>20827.939506689669</v>
      </c>
      <c r="P65" s="190">
        <f t="shared" si="3"/>
        <v>1575</v>
      </c>
      <c r="Q65" s="192">
        <f t="shared" si="4"/>
        <v>2325</v>
      </c>
    </row>
    <row r="66" spans="1:17" s="172" customFormat="1" ht="27.6" customHeight="1" x14ac:dyDescent="0.25">
      <c r="A66" s="56">
        <v>19</v>
      </c>
      <c r="B66" s="195" t="s">
        <v>23</v>
      </c>
      <c r="C66" s="198">
        <v>199966.51300000001</v>
      </c>
      <c r="D66" s="199">
        <v>9767141.9409999996</v>
      </c>
      <c r="E66" s="184">
        <f t="shared" si="5"/>
        <v>5200</v>
      </c>
      <c r="F66" s="185">
        <v>5300</v>
      </c>
      <c r="G66" s="65" t="s">
        <v>122</v>
      </c>
      <c r="H66" s="186"/>
      <c r="I66" s="186"/>
      <c r="J66" s="186"/>
      <c r="K66" s="187">
        <f t="shared" si="0"/>
        <v>100</v>
      </c>
      <c r="L66" s="188"/>
      <c r="M66" s="189" t="s">
        <v>41</v>
      </c>
      <c r="N66" s="190">
        <f t="shared" si="1"/>
        <v>90.288709334169837</v>
      </c>
      <c r="O66" s="190">
        <f t="shared" si="2"/>
        <v>20918.228216023839</v>
      </c>
      <c r="P66" s="190">
        <f t="shared" si="3"/>
        <v>630</v>
      </c>
      <c r="Q66" s="192">
        <f t="shared" si="4"/>
        <v>90.288709334169837</v>
      </c>
    </row>
    <row r="67" spans="1:17" s="172" customFormat="1" ht="2.85" customHeight="1" x14ac:dyDescent="0.25">
      <c r="A67" s="201"/>
      <c r="B67" s="202"/>
      <c r="C67" s="203"/>
      <c r="D67" s="203"/>
      <c r="E67" s="204"/>
      <c r="F67" s="205"/>
      <c r="G67" s="206"/>
      <c r="H67" s="207"/>
      <c r="I67" s="207"/>
      <c r="J67" s="207"/>
      <c r="K67" s="208"/>
      <c r="L67" s="209"/>
      <c r="M67" s="210"/>
      <c r="N67" s="211">
        <f t="shared" si="1"/>
        <v>0</v>
      </c>
      <c r="O67" s="212">
        <f t="shared" si="2"/>
        <v>20918.228216023839</v>
      </c>
      <c r="P67" s="211">
        <f t="shared" si="3"/>
        <v>0</v>
      </c>
      <c r="Q67" s="213">
        <f t="shared" si="4"/>
        <v>0</v>
      </c>
    </row>
    <row r="68" spans="1:17" s="172" customFormat="1" ht="17.100000000000001" customHeight="1" x14ac:dyDescent="0.25">
      <c r="A68" s="56">
        <v>1</v>
      </c>
      <c r="B68" s="183" t="s">
        <v>23</v>
      </c>
      <c r="C68" s="57">
        <v>202407.63699999999</v>
      </c>
      <c r="D68" s="57">
        <v>9767324.852</v>
      </c>
      <c r="E68" s="184">
        <v>0</v>
      </c>
      <c r="F68" s="185">
        <v>9.9999999999999994E-12</v>
      </c>
      <c r="G68" s="65" t="s">
        <v>123</v>
      </c>
      <c r="H68" s="186"/>
      <c r="I68" s="186"/>
      <c r="J68" s="186"/>
      <c r="K68" s="187">
        <f t="shared" ref="K68:K106" si="6">F68-E68</f>
        <v>9.9999999999999994E-12</v>
      </c>
      <c r="L68" s="188"/>
      <c r="M68" s="189"/>
      <c r="N68" s="190">
        <f t="shared" si="1"/>
        <v>9.028870933416983E-12</v>
      </c>
      <c r="O68" s="190">
        <f t="shared" si="2"/>
        <v>20918.228216023846</v>
      </c>
      <c r="P68" s="190">
        <f t="shared" si="3"/>
        <v>6.2999999999999989E-11</v>
      </c>
      <c r="Q68" s="192">
        <f t="shared" si="4"/>
        <v>9.028870933416983E-12</v>
      </c>
    </row>
    <row r="69" spans="1:17" s="172" customFormat="1" ht="17.100000000000001" customHeight="1" x14ac:dyDescent="0.25">
      <c r="A69" s="56"/>
      <c r="B69" s="183"/>
      <c r="C69" s="57"/>
      <c r="D69" s="57"/>
      <c r="E69" s="184">
        <f t="shared" ref="E69:E88" si="7">F68</f>
        <v>9.9999999999999994E-12</v>
      </c>
      <c r="F69" s="185">
        <v>450</v>
      </c>
      <c r="G69" s="65" t="s">
        <v>116</v>
      </c>
      <c r="H69" s="186"/>
      <c r="I69" s="186"/>
      <c r="J69" s="186"/>
      <c r="K69" s="187">
        <f t="shared" si="6"/>
        <v>449.99999999999</v>
      </c>
      <c r="L69" s="188"/>
      <c r="M69" s="189" t="s">
        <v>41</v>
      </c>
      <c r="N69" s="190">
        <f t="shared" si="1"/>
        <v>406.29919200375525</v>
      </c>
      <c r="O69" s="190">
        <f t="shared" si="2"/>
        <v>21324.527408027603</v>
      </c>
      <c r="P69" s="190">
        <f t="shared" si="3"/>
        <v>2834.9999999999368</v>
      </c>
      <c r="Q69" s="192">
        <f t="shared" si="4"/>
        <v>406.29919200375525</v>
      </c>
    </row>
    <row r="70" spans="1:17" s="172" customFormat="1" ht="29.25" customHeight="1" x14ac:dyDescent="0.25">
      <c r="A70" s="56">
        <v>2</v>
      </c>
      <c r="B70" s="183" t="s">
        <v>23</v>
      </c>
      <c r="C70" s="198">
        <v>202352.16800000001</v>
      </c>
      <c r="D70" s="199">
        <v>9766823.3880000003</v>
      </c>
      <c r="E70" s="184">
        <f t="shared" si="7"/>
        <v>450</v>
      </c>
      <c r="F70" s="185">
        <v>550</v>
      </c>
      <c r="G70" s="65" t="s">
        <v>120</v>
      </c>
      <c r="H70" s="186" t="s">
        <v>47</v>
      </c>
      <c r="I70" s="186">
        <v>8</v>
      </c>
      <c r="J70" s="186">
        <v>2</v>
      </c>
      <c r="K70" s="187">
        <f t="shared" si="6"/>
        <v>100</v>
      </c>
      <c r="L70" s="188">
        <v>1.2</v>
      </c>
      <c r="M70" s="189" t="s">
        <v>50</v>
      </c>
      <c r="N70" s="190">
        <f t="shared" si="1"/>
        <v>485.99999999999994</v>
      </c>
      <c r="O70" s="190">
        <f t="shared" si="2"/>
        <v>21810.527408027603</v>
      </c>
      <c r="P70" s="190">
        <f t="shared" si="3"/>
        <v>630</v>
      </c>
      <c r="Q70" s="192">
        <f t="shared" si="4"/>
        <v>485.99999999999994</v>
      </c>
    </row>
    <row r="71" spans="1:17" s="172" customFormat="1" ht="26.1" customHeight="1" x14ac:dyDescent="0.25">
      <c r="A71" s="194">
        <v>3</v>
      </c>
      <c r="B71" s="183" t="s">
        <v>23</v>
      </c>
      <c r="C71" s="200">
        <v>202351.02100000001</v>
      </c>
      <c r="D71" s="200">
        <v>9766713.7290000003</v>
      </c>
      <c r="E71" s="184">
        <f t="shared" si="7"/>
        <v>550</v>
      </c>
      <c r="F71" s="185">
        <v>650</v>
      </c>
      <c r="G71" s="65" t="s">
        <v>120</v>
      </c>
      <c r="H71" s="191" t="s">
        <v>47</v>
      </c>
      <c r="I71" s="186">
        <v>8</v>
      </c>
      <c r="J71" s="186">
        <v>2</v>
      </c>
      <c r="K71" s="187">
        <f t="shared" si="6"/>
        <v>100</v>
      </c>
      <c r="L71" s="188">
        <v>1.2</v>
      </c>
      <c r="M71" s="189" t="s">
        <v>50</v>
      </c>
      <c r="N71" s="190">
        <f t="shared" si="1"/>
        <v>485.99999999999994</v>
      </c>
      <c r="O71" s="190">
        <f t="shared" si="2"/>
        <v>22296.527408027603</v>
      </c>
      <c r="P71" s="190">
        <f t="shared" si="3"/>
        <v>630</v>
      </c>
      <c r="Q71" s="192">
        <f t="shared" si="4"/>
        <v>485.99999999999994</v>
      </c>
    </row>
    <row r="72" spans="1:17" s="172" customFormat="1" ht="17.100000000000001" customHeight="1" x14ac:dyDescent="0.25">
      <c r="A72" s="56"/>
      <c r="B72" s="195"/>
      <c r="C72" s="198"/>
      <c r="D72" s="199"/>
      <c r="E72" s="184">
        <f t="shared" si="7"/>
        <v>650</v>
      </c>
      <c r="F72" s="185">
        <v>1250</v>
      </c>
      <c r="G72" s="65" t="s">
        <v>116</v>
      </c>
      <c r="H72" s="186"/>
      <c r="I72" s="186"/>
      <c r="J72" s="186"/>
      <c r="K72" s="187">
        <f t="shared" si="6"/>
        <v>600</v>
      </c>
      <c r="L72" s="188"/>
      <c r="M72" s="189" t="s">
        <v>41</v>
      </c>
      <c r="N72" s="190">
        <f t="shared" si="1"/>
        <v>541.73225600501905</v>
      </c>
      <c r="O72" s="190">
        <f t="shared" si="2"/>
        <v>22838.259664032623</v>
      </c>
      <c r="P72" s="190">
        <f t="shared" si="3"/>
        <v>3780</v>
      </c>
      <c r="Q72" s="192">
        <f t="shared" si="4"/>
        <v>541.73225600501905</v>
      </c>
    </row>
    <row r="73" spans="1:17" s="172" customFormat="1" ht="24.45" customHeight="1" x14ac:dyDescent="0.25">
      <c r="A73" s="56">
        <v>4</v>
      </c>
      <c r="B73" s="183" t="s">
        <v>23</v>
      </c>
      <c r="C73" s="57">
        <v>202626.785</v>
      </c>
      <c r="D73" s="57">
        <v>9766184.9499999993</v>
      </c>
      <c r="E73" s="184">
        <f t="shared" si="7"/>
        <v>1250</v>
      </c>
      <c r="F73" s="185">
        <v>1350</v>
      </c>
      <c r="G73" s="65" t="s">
        <v>120</v>
      </c>
      <c r="H73" s="186" t="s">
        <v>47</v>
      </c>
      <c r="I73" s="186">
        <v>8</v>
      </c>
      <c r="J73" s="186">
        <v>2</v>
      </c>
      <c r="K73" s="187">
        <f t="shared" si="6"/>
        <v>100</v>
      </c>
      <c r="L73" s="188">
        <v>1.2</v>
      </c>
      <c r="M73" s="189" t="s">
        <v>50</v>
      </c>
      <c r="N73" s="190">
        <f t="shared" si="1"/>
        <v>485.99999999999994</v>
      </c>
      <c r="O73" s="190">
        <f t="shared" si="2"/>
        <v>23324.259664032623</v>
      </c>
      <c r="P73" s="190">
        <f t="shared" si="3"/>
        <v>630</v>
      </c>
      <c r="Q73" s="192">
        <f t="shared" si="4"/>
        <v>485.99999999999994</v>
      </c>
    </row>
    <row r="74" spans="1:17" s="172" customFormat="1" ht="17.100000000000001" customHeight="1" x14ac:dyDescent="0.25">
      <c r="A74" s="214"/>
      <c r="B74" s="215"/>
      <c r="C74" s="216"/>
      <c r="D74" s="216"/>
      <c r="E74" s="184">
        <f t="shared" si="7"/>
        <v>1350</v>
      </c>
      <c r="F74" s="185">
        <v>1600</v>
      </c>
      <c r="G74" s="65" t="s">
        <v>116</v>
      </c>
      <c r="H74" s="215"/>
      <c r="I74" s="215"/>
      <c r="J74" s="215"/>
      <c r="K74" s="187">
        <f t="shared" si="6"/>
        <v>250</v>
      </c>
      <c r="L74" s="217"/>
      <c r="M74" s="218" t="s">
        <v>41</v>
      </c>
      <c r="N74" s="219">
        <f t="shared" si="1"/>
        <v>225.72177333542459</v>
      </c>
      <c r="O74" s="219">
        <f t="shared" si="2"/>
        <v>23549.981437368049</v>
      </c>
      <c r="P74" s="219">
        <f t="shared" si="3"/>
        <v>1575</v>
      </c>
      <c r="Q74" s="220">
        <f t="shared" si="4"/>
        <v>225.72177333542459</v>
      </c>
    </row>
    <row r="75" spans="1:17" s="172" customFormat="1" ht="32.4" customHeight="1" x14ac:dyDescent="0.25">
      <c r="A75" s="214">
        <v>5</v>
      </c>
      <c r="B75" s="215" t="s">
        <v>23</v>
      </c>
      <c r="C75" s="216">
        <v>203075.883</v>
      </c>
      <c r="D75" s="216">
        <v>9765974.9299999997</v>
      </c>
      <c r="E75" s="184">
        <f t="shared" si="7"/>
        <v>1600</v>
      </c>
      <c r="F75" s="185">
        <v>1800</v>
      </c>
      <c r="G75" s="65" t="s">
        <v>119</v>
      </c>
      <c r="H75" s="215" t="s">
        <v>54</v>
      </c>
      <c r="I75" s="215">
        <v>9</v>
      </c>
      <c r="J75" s="215">
        <v>2</v>
      </c>
      <c r="K75" s="187">
        <f t="shared" si="6"/>
        <v>200</v>
      </c>
      <c r="L75" s="217">
        <v>2</v>
      </c>
      <c r="M75" s="218" t="s">
        <v>50</v>
      </c>
      <c r="N75" s="219">
        <f t="shared" si="1"/>
        <v>1860.0000000000002</v>
      </c>
      <c r="O75" s="219">
        <f t="shared" si="2"/>
        <v>25409.981437368049</v>
      </c>
      <c r="P75" s="219">
        <f t="shared" si="3"/>
        <v>1260</v>
      </c>
      <c r="Q75" s="220">
        <f t="shared" si="4"/>
        <v>1860.0000000000002</v>
      </c>
    </row>
    <row r="76" spans="1:17" s="172" customFormat="1" ht="30.75" customHeight="1" x14ac:dyDescent="0.25">
      <c r="A76" s="221">
        <v>6</v>
      </c>
      <c r="B76" s="222" t="s">
        <v>23</v>
      </c>
      <c r="C76" s="223">
        <v>203183.815</v>
      </c>
      <c r="D76" s="223">
        <v>9765938.932</v>
      </c>
      <c r="E76" s="184">
        <f t="shared" si="7"/>
        <v>1800</v>
      </c>
      <c r="F76" s="185">
        <v>2000</v>
      </c>
      <c r="G76" s="65" t="s">
        <v>119</v>
      </c>
      <c r="H76" s="222" t="s">
        <v>54</v>
      </c>
      <c r="I76" s="215">
        <v>9</v>
      </c>
      <c r="J76" s="215">
        <v>2</v>
      </c>
      <c r="K76" s="187">
        <f t="shared" si="6"/>
        <v>200</v>
      </c>
      <c r="L76" s="224">
        <v>2</v>
      </c>
      <c r="M76" s="225" t="s">
        <v>50</v>
      </c>
      <c r="N76" s="226">
        <f t="shared" si="1"/>
        <v>1860.0000000000002</v>
      </c>
      <c r="O76" s="226">
        <f t="shared" si="2"/>
        <v>27269.981437368049</v>
      </c>
      <c r="P76" s="226">
        <f t="shared" si="3"/>
        <v>1260</v>
      </c>
      <c r="Q76" s="227">
        <f t="shared" si="4"/>
        <v>1860.0000000000002</v>
      </c>
    </row>
    <row r="77" spans="1:17" s="172" customFormat="1" ht="17.100000000000001" customHeight="1" x14ac:dyDescent="0.25">
      <c r="A77" s="56"/>
      <c r="B77" s="183"/>
      <c r="C77" s="57"/>
      <c r="D77" s="57"/>
      <c r="E77" s="184">
        <f t="shared" si="7"/>
        <v>2000</v>
      </c>
      <c r="F77" s="185">
        <v>2050</v>
      </c>
      <c r="G77" s="65" t="s">
        <v>116</v>
      </c>
      <c r="H77" s="186"/>
      <c r="I77" s="186"/>
      <c r="J77" s="186"/>
      <c r="K77" s="187">
        <f t="shared" si="6"/>
        <v>50</v>
      </c>
      <c r="L77" s="188"/>
      <c r="M77" s="189" t="s">
        <v>41</v>
      </c>
      <c r="N77" s="190">
        <f t="shared" si="1"/>
        <v>45.144354667084919</v>
      </c>
      <c r="O77" s="190">
        <f t="shared" si="2"/>
        <v>27315.125792035135</v>
      </c>
      <c r="P77" s="190">
        <f t="shared" si="3"/>
        <v>315</v>
      </c>
      <c r="Q77" s="192">
        <f t="shared" si="4"/>
        <v>45.144354667084919</v>
      </c>
    </row>
    <row r="78" spans="1:17" s="172" customFormat="1" ht="30.75" customHeight="1" x14ac:dyDescent="0.25">
      <c r="A78" s="56">
        <v>7</v>
      </c>
      <c r="B78" s="183" t="s">
        <v>23</v>
      </c>
      <c r="C78" s="57">
        <v>203447.709</v>
      </c>
      <c r="D78" s="57">
        <v>9765837.6970000006</v>
      </c>
      <c r="E78" s="184">
        <f t="shared" si="7"/>
        <v>2050</v>
      </c>
      <c r="F78" s="185">
        <v>2150</v>
      </c>
      <c r="G78" s="65" t="s">
        <v>120</v>
      </c>
      <c r="H78" s="186" t="s">
        <v>47</v>
      </c>
      <c r="I78" s="186">
        <v>8</v>
      </c>
      <c r="J78" s="186">
        <v>2</v>
      </c>
      <c r="K78" s="187">
        <f t="shared" si="6"/>
        <v>100</v>
      </c>
      <c r="L78" s="188">
        <v>1.2</v>
      </c>
      <c r="M78" s="189" t="s">
        <v>50</v>
      </c>
      <c r="N78" s="190">
        <f t="shared" si="1"/>
        <v>485.99999999999994</v>
      </c>
      <c r="O78" s="190">
        <f t="shared" si="2"/>
        <v>27801.125792035135</v>
      </c>
      <c r="P78" s="190">
        <f t="shared" si="3"/>
        <v>630</v>
      </c>
      <c r="Q78" s="192">
        <f t="shared" si="4"/>
        <v>485.99999999999994</v>
      </c>
    </row>
    <row r="79" spans="1:17" s="172" customFormat="1" ht="27.6" customHeight="1" x14ac:dyDescent="0.25">
      <c r="A79" s="56">
        <v>8</v>
      </c>
      <c r="B79" s="183" t="s">
        <v>23</v>
      </c>
      <c r="C79" s="57">
        <v>203573.356</v>
      </c>
      <c r="D79" s="57">
        <v>9765792.7670000009</v>
      </c>
      <c r="E79" s="184">
        <f t="shared" si="7"/>
        <v>2150</v>
      </c>
      <c r="F79" s="185">
        <v>2250</v>
      </c>
      <c r="G79" s="65" t="s">
        <v>120</v>
      </c>
      <c r="H79" s="186" t="s">
        <v>47</v>
      </c>
      <c r="I79" s="186">
        <v>8</v>
      </c>
      <c r="J79" s="186">
        <v>2</v>
      </c>
      <c r="K79" s="187">
        <f t="shared" si="6"/>
        <v>100</v>
      </c>
      <c r="L79" s="188">
        <v>1.2</v>
      </c>
      <c r="M79" s="189" t="s">
        <v>50</v>
      </c>
      <c r="N79" s="190">
        <f t="shared" si="1"/>
        <v>485.99999999999994</v>
      </c>
      <c r="O79" s="190">
        <f t="shared" si="2"/>
        <v>28287.125792035135</v>
      </c>
      <c r="P79" s="190">
        <f t="shared" si="3"/>
        <v>630</v>
      </c>
      <c r="Q79" s="192">
        <f t="shared" si="4"/>
        <v>485.99999999999994</v>
      </c>
    </row>
    <row r="80" spans="1:17" s="172" customFormat="1" ht="17.100000000000001" customHeight="1" x14ac:dyDescent="0.25">
      <c r="A80" s="56"/>
      <c r="B80" s="183"/>
      <c r="C80" s="57"/>
      <c r="D80" s="57"/>
      <c r="E80" s="184">
        <f t="shared" si="7"/>
        <v>2250</v>
      </c>
      <c r="F80" s="185">
        <v>2400</v>
      </c>
      <c r="G80" s="65" t="s">
        <v>116</v>
      </c>
      <c r="H80" s="186"/>
      <c r="I80" s="186"/>
      <c r="J80" s="186"/>
      <c r="K80" s="187">
        <f t="shared" si="6"/>
        <v>150</v>
      </c>
      <c r="L80" s="188"/>
      <c r="M80" s="189" t="s">
        <v>41</v>
      </c>
      <c r="N80" s="190">
        <f t="shared" si="1"/>
        <v>135.43306400125476</v>
      </c>
      <c r="O80" s="190">
        <f t="shared" si="2"/>
        <v>28422.55885603639</v>
      </c>
      <c r="P80" s="190">
        <f t="shared" si="3"/>
        <v>945</v>
      </c>
      <c r="Q80" s="192">
        <f t="shared" si="4"/>
        <v>135.43306400125476</v>
      </c>
    </row>
    <row r="81" spans="1:17" s="172" customFormat="1" ht="28.35" customHeight="1" x14ac:dyDescent="0.25">
      <c r="A81" s="56">
        <v>9</v>
      </c>
      <c r="B81" s="183" t="s">
        <v>23</v>
      </c>
      <c r="C81" s="57">
        <v>204069.859</v>
      </c>
      <c r="D81" s="57">
        <v>9765590.3530000001</v>
      </c>
      <c r="E81" s="184">
        <f t="shared" si="7"/>
        <v>2400</v>
      </c>
      <c r="F81" s="185">
        <v>2800</v>
      </c>
      <c r="G81" s="65" t="s">
        <v>124</v>
      </c>
      <c r="H81" s="186" t="s">
        <v>66</v>
      </c>
      <c r="I81" s="215">
        <v>9</v>
      </c>
      <c r="J81" s="215">
        <v>2</v>
      </c>
      <c r="K81" s="187">
        <f t="shared" si="6"/>
        <v>400</v>
      </c>
      <c r="L81" s="188">
        <v>2</v>
      </c>
      <c r="M81" s="189" t="s">
        <v>50</v>
      </c>
      <c r="N81" s="190">
        <f t="shared" si="1"/>
        <v>3720.0000000000005</v>
      </c>
      <c r="O81" s="190">
        <f t="shared" si="2"/>
        <v>32142.55885603639</v>
      </c>
      <c r="P81" s="190">
        <f t="shared" si="3"/>
        <v>2520</v>
      </c>
      <c r="Q81" s="192">
        <f t="shared" si="4"/>
        <v>3720.0000000000005</v>
      </c>
    </row>
    <row r="82" spans="1:17" s="172" customFormat="1" ht="17.100000000000001" customHeight="1" x14ac:dyDescent="0.25">
      <c r="A82" s="56"/>
      <c r="B82" s="183"/>
      <c r="C82" s="57"/>
      <c r="D82" s="57"/>
      <c r="E82" s="184">
        <f t="shared" si="7"/>
        <v>2800</v>
      </c>
      <c r="F82" s="185">
        <v>3250</v>
      </c>
      <c r="G82" s="65" t="s">
        <v>116</v>
      </c>
      <c r="H82" s="186"/>
      <c r="I82" s="186"/>
      <c r="J82" s="186"/>
      <c r="K82" s="187">
        <f t="shared" si="6"/>
        <v>450</v>
      </c>
      <c r="L82" s="188"/>
      <c r="M82" s="189" t="s">
        <v>41</v>
      </c>
      <c r="N82" s="190">
        <f t="shared" si="1"/>
        <v>406.29919200376429</v>
      </c>
      <c r="O82" s="190">
        <f t="shared" si="2"/>
        <v>32548.858048040154</v>
      </c>
      <c r="P82" s="190">
        <f t="shared" si="3"/>
        <v>2835</v>
      </c>
      <c r="Q82" s="192">
        <f t="shared" si="4"/>
        <v>406.29919200376429</v>
      </c>
    </row>
    <row r="83" spans="1:17" s="172" customFormat="1" ht="27.6" customHeight="1" x14ac:dyDescent="0.25">
      <c r="A83" s="56">
        <v>10</v>
      </c>
      <c r="B83" s="183" t="s">
        <v>23</v>
      </c>
      <c r="C83" s="57">
        <v>204715.008</v>
      </c>
      <c r="D83" s="57">
        <v>9765301.8859999999</v>
      </c>
      <c r="E83" s="184">
        <f t="shared" si="7"/>
        <v>3250</v>
      </c>
      <c r="F83" s="185">
        <v>3450</v>
      </c>
      <c r="G83" s="65" t="s">
        <v>120</v>
      </c>
      <c r="H83" s="186" t="s">
        <v>47</v>
      </c>
      <c r="I83" s="186">
        <v>8</v>
      </c>
      <c r="J83" s="186">
        <v>2</v>
      </c>
      <c r="K83" s="187">
        <f t="shared" si="6"/>
        <v>200</v>
      </c>
      <c r="L83" s="188">
        <v>1.2</v>
      </c>
      <c r="M83" s="189" t="s">
        <v>50</v>
      </c>
      <c r="N83" s="190">
        <f t="shared" si="1"/>
        <v>971.99999999999989</v>
      </c>
      <c r="O83" s="190">
        <f t="shared" si="2"/>
        <v>33520.858048040151</v>
      </c>
      <c r="P83" s="190">
        <f t="shared" si="3"/>
        <v>1260</v>
      </c>
      <c r="Q83" s="192">
        <f t="shared" si="4"/>
        <v>971.99999999999989</v>
      </c>
    </row>
    <row r="84" spans="1:17" s="172" customFormat="1" ht="17.100000000000001" customHeight="1" x14ac:dyDescent="0.25">
      <c r="A84" s="56"/>
      <c r="B84" s="183"/>
      <c r="C84" s="57"/>
      <c r="D84" s="57"/>
      <c r="E84" s="184">
        <f t="shared" si="7"/>
        <v>3450</v>
      </c>
      <c r="F84" s="185">
        <v>3600</v>
      </c>
      <c r="G84" s="65" t="s">
        <v>116</v>
      </c>
      <c r="H84" s="186"/>
      <c r="I84" s="186"/>
      <c r="J84" s="186"/>
      <c r="K84" s="187">
        <f t="shared" si="6"/>
        <v>150</v>
      </c>
      <c r="L84" s="188"/>
      <c r="M84" s="189" t="s">
        <v>41</v>
      </c>
      <c r="N84" s="190">
        <f t="shared" si="1"/>
        <v>135.43306400125476</v>
      </c>
      <c r="O84" s="190">
        <f t="shared" si="2"/>
        <v>33656.291112041406</v>
      </c>
      <c r="P84" s="190">
        <f t="shared" si="3"/>
        <v>945</v>
      </c>
      <c r="Q84" s="192">
        <f t="shared" si="4"/>
        <v>135.43306400125476</v>
      </c>
    </row>
    <row r="85" spans="1:17" s="172" customFormat="1" ht="28.35" customHeight="1" x14ac:dyDescent="0.25">
      <c r="A85" s="56">
        <v>11</v>
      </c>
      <c r="B85" s="183" t="s">
        <v>23</v>
      </c>
      <c r="C85" s="57">
        <v>205020.038</v>
      </c>
      <c r="D85" s="57">
        <v>9765163.0989999995</v>
      </c>
      <c r="E85" s="184">
        <f t="shared" si="7"/>
        <v>3600</v>
      </c>
      <c r="F85" s="185">
        <v>3900</v>
      </c>
      <c r="G85" s="65" t="s">
        <v>117</v>
      </c>
      <c r="H85" s="186" t="s">
        <v>78</v>
      </c>
      <c r="I85" s="186">
        <v>10</v>
      </c>
      <c r="J85" s="186">
        <v>4</v>
      </c>
      <c r="K85" s="187">
        <f t="shared" si="6"/>
        <v>300</v>
      </c>
      <c r="L85" s="188">
        <v>2</v>
      </c>
      <c r="M85" s="189" t="s">
        <v>50</v>
      </c>
      <c r="N85" s="190">
        <f t="shared" si="1"/>
        <v>2790</v>
      </c>
      <c r="O85" s="190">
        <f t="shared" si="2"/>
        <v>36446.291112041406</v>
      </c>
      <c r="P85" s="190">
        <f t="shared" si="3"/>
        <v>1890</v>
      </c>
      <c r="Q85" s="192">
        <f t="shared" si="4"/>
        <v>2790</v>
      </c>
    </row>
    <row r="86" spans="1:17" s="172" customFormat="1" ht="17.100000000000001" customHeight="1" x14ac:dyDescent="0.25">
      <c r="A86" s="56"/>
      <c r="B86" s="183"/>
      <c r="C86" s="57"/>
      <c r="D86" s="57"/>
      <c r="E86" s="184">
        <f t="shared" si="7"/>
        <v>3900</v>
      </c>
      <c r="F86" s="185">
        <v>4100</v>
      </c>
      <c r="G86" s="65" t="s">
        <v>116</v>
      </c>
      <c r="H86" s="186"/>
      <c r="I86" s="186"/>
      <c r="J86" s="186"/>
      <c r="K86" s="187">
        <f t="shared" si="6"/>
        <v>200</v>
      </c>
      <c r="L86" s="188"/>
      <c r="M86" s="189" t="s">
        <v>41</v>
      </c>
      <c r="N86" s="190">
        <f t="shared" si="1"/>
        <v>180.57741866833967</v>
      </c>
      <c r="O86" s="190">
        <f t="shared" si="2"/>
        <v>36626.868530709748</v>
      </c>
      <c r="P86" s="190">
        <f t="shared" si="3"/>
        <v>1260</v>
      </c>
      <c r="Q86" s="192">
        <f t="shared" si="4"/>
        <v>180.57741866833967</v>
      </c>
    </row>
    <row r="87" spans="1:17" s="172" customFormat="1" ht="26.1" customHeight="1" x14ac:dyDescent="0.25">
      <c r="A87" s="56">
        <v>12</v>
      </c>
      <c r="B87" s="183" t="s">
        <v>23</v>
      </c>
      <c r="C87" s="57">
        <v>205558.23699999999</v>
      </c>
      <c r="D87" s="57">
        <v>9764919.7050000001</v>
      </c>
      <c r="E87" s="184">
        <f t="shared" si="7"/>
        <v>4100</v>
      </c>
      <c r="F87" s="185">
        <v>4400</v>
      </c>
      <c r="G87" s="65" t="s">
        <v>124</v>
      </c>
      <c r="H87" s="186" t="s">
        <v>66</v>
      </c>
      <c r="I87" s="215">
        <v>9</v>
      </c>
      <c r="J87" s="215">
        <v>2</v>
      </c>
      <c r="K87" s="187">
        <f t="shared" si="6"/>
        <v>300</v>
      </c>
      <c r="L87" s="188">
        <v>2</v>
      </c>
      <c r="M87" s="189" t="s">
        <v>50</v>
      </c>
      <c r="N87" s="190">
        <f t="shared" si="1"/>
        <v>2790</v>
      </c>
      <c r="O87" s="190">
        <f t="shared" si="2"/>
        <v>39416.868530709748</v>
      </c>
      <c r="P87" s="190">
        <f t="shared" si="3"/>
        <v>1890</v>
      </c>
      <c r="Q87" s="192">
        <f t="shared" si="4"/>
        <v>2790</v>
      </c>
    </row>
    <row r="88" spans="1:17" s="172" customFormat="1" ht="23.7" customHeight="1" x14ac:dyDescent="0.25">
      <c r="A88" s="56">
        <v>13</v>
      </c>
      <c r="B88" s="183" t="s">
        <v>23</v>
      </c>
      <c r="C88" s="57">
        <v>205671.196</v>
      </c>
      <c r="D88" s="57">
        <v>9764871.3230000008</v>
      </c>
      <c r="E88" s="184">
        <f t="shared" si="7"/>
        <v>4400</v>
      </c>
      <c r="F88" s="185">
        <v>4500</v>
      </c>
      <c r="G88" s="65" t="s">
        <v>125</v>
      </c>
      <c r="H88" s="186"/>
      <c r="I88" s="186"/>
      <c r="J88" s="186"/>
      <c r="K88" s="187">
        <f t="shared" si="6"/>
        <v>100</v>
      </c>
      <c r="L88" s="188"/>
      <c r="M88" s="189" t="s">
        <v>41</v>
      </c>
      <c r="N88" s="190">
        <f t="shared" si="1"/>
        <v>90.288709334169837</v>
      </c>
      <c r="O88" s="190">
        <f t="shared" si="2"/>
        <v>39507.157240043918</v>
      </c>
      <c r="P88" s="190">
        <f t="shared" si="3"/>
        <v>630</v>
      </c>
      <c r="Q88" s="192">
        <f t="shared" si="4"/>
        <v>90.288709334169837</v>
      </c>
    </row>
    <row r="89" spans="1:17" s="172" customFormat="1" ht="2.85" customHeight="1" x14ac:dyDescent="0.25">
      <c r="A89" s="201"/>
      <c r="B89" s="202"/>
      <c r="C89" s="203"/>
      <c r="D89" s="203"/>
      <c r="E89" s="204"/>
      <c r="F89" s="205"/>
      <c r="G89" s="206"/>
      <c r="H89" s="207"/>
      <c r="I89" s="207"/>
      <c r="J89" s="207"/>
      <c r="K89" s="208">
        <f t="shared" si="6"/>
        <v>0</v>
      </c>
      <c r="L89" s="209"/>
      <c r="M89" s="210"/>
      <c r="N89" s="211">
        <f t="shared" si="1"/>
        <v>0</v>
      </c>
      <c r="O89" s="211">
        <f t="shared" si="2"/>
        <v>39507.157240043918</v>
      </c>
      <c r="P89" s="211">
        <f t="shared" si="3"/>
        <v>0</v>
      </c>
      <c r="Q89" s="213">
        <f t="shared" si="4"/>
        <v>0</v>
      </c>
    </row>
    <row r="90" spans="1:17" s="172" customFormat="1" ht="17.100000000000001" customHeight="1" x14ac:dyDescent="0.25">
      <c r="A90" s="56">
        <v>1</v>
      </c>
      <c r="B90" s="183" t="s">
        <v>23</v>
      </c>
      <c r="C90" s="57">
        <v>209400.03</v>
      </c>
      <c r="D90" s="57">
        <v>9761445.0590000004</v>
      </c>
      <c r="E90" s="184">
        <v>0</v>
      </c>
      <c r="F90" s="185">
        <v>9.9999999999999994E-12</v>
      </c>
      <c r="G90" s="65" t="s">
        <v>126</v>
      </c>
      <c r="H90" s="186"/>
      <c r="I90" s="186"/>
      <c r="J90" s="186"/>
      <c r="K90" s="187">
        <f t="shared" si="6"/>
        <v>9.9999999999999994E-12</v>
      </c>
      <c r="L90" s="188"/>
      <c r="M90" s="189"/>
      <c r="N90" s="190">
        <f t="shared" si="1"/>
        <v>9.028870933416983E-12</v>
      </c>
      <c r="O90" s="190">
        <f t="shared" si="2"/>
        <v>39507.157240043925</v>
      </c>
      <c r="P90" s="190">
        <f t="shared" si="3"/>
        <v>6.2999999999999989E-11</v>
      </c>
      <c r="Q90" s="192">
        <f t="shared" si="4"/>
        <v>9.028870933416983E-12</v>
      </c>
    </row>
    <row r="91" spans="1:17" s="172" customFormat="1" ht="19.649999999999999" customHeight="1" x14ac:dyDescent="0.25">
      <c r="A91" s="56"/>
      <c r="B91" s="183"/>
      <c r="C91" s="57"/>
      <c r="D91" s="57"/>
      <c r="E91" s="184">
        <f t="shared" ref="E91:E105" si="8">F90</f>
        <v>9.9999999999999994E-12</v>
      </c>
      <c r="F91" s="185">
        <v>350</v>
      </c>
      <c r="G91" s="65" t="s">
        <v>116</v>
      </c>
      <c r="H91" s="186"/>
      <c r="I91" s="186"/>
      <c r="J91" s="186"/>
      <c r="K91" s="187">
        <f t="shared" si="6"/>
        <v>349.99999999999</v>
      </c>
      <c r="L91" s="188"/>
      <c r="M91" s="189" t="s">
        <v>41</v>
      </c>
      <c r="N91" s="190">
        <f t="shared" si="1"/>
        <v>316.01048266958537</v>
      </c>
      <c r="O91" s="190">
        <f t="shared" si="2"/>
        <v>39823.167722713508</v>
      </c>
      <c r="P91" s="190">
        <f t="shared" si="3"/>
        <v>2204.9999999999368</v>
      </c>
      <c r="Q91" s="192">
        <f t="shared" si="4"/>
        <v>316.01048266958537</v>
      </c>
    </row>
    <row r="92" spans="1:17" s="172" customFormat="1" ht="29.25" customHeight="1" x14ac:dyDescent="0.25">
      <c r="A92" s="56">
        <v>2</v>
      </c>
      <c r="B92" s="183" t="s">
        <v>23</v>
      </c>
      <c r="C92" s="57">
        <v>208985.859</v>
      </c>
      <c r="D92" s="57">
        <v>9761624.1510000005</v>
      </c>
      <c r="E92" s="184">
        <f t="shared" si="8"/>
        <v>350</v>
      </c>
      <c r="F92" s="185">
        <v>450</v>
      </c>
      <c r="G92" s="65" t="s">
        <v>120</v>
      </c>
      <c r="H92" s="186" t="s">
        <v>47</v>
      </c>
      <c r="I92" s="186">
        <v>8</v>
      </c>
      <c r="J92" s="186">
        <v>2</v>
      </c>
      <c r="K92" s="187">
        <f t="shared" si="6"/>
        <v>100</v>
      </c>
      <c r="L92" s="188">
        <v>1.2</v>
      </c>
      <c r="M92" s="189" t="s">
        <v>50</v>
      </c>
      <c r="N92" s="190">
        <f t="shared" si="1"/>
        <v>485.99999999999994</v>
      </c>
      <c r="O92" s="190">
        <f t="shared" si="2"/>
        <v>40309.167722713508</v>
      </c>
      <c r="P92" s="190">
        <f t="shared" si="3"/>
        <v>630</v>
      </c>
      <c r="Q92" s="192">
        <f t="shared" si="4"/>
        <v>485.99999999999994</v>
      </c>
    </row>
    <row r="93" spans="1:17" s="172" customFormat="1" ht="27.6" customHeight="1" x14ac:dyDescent="0.25">
      <c r="A93" s="56">
        <v>3</v>
      </c>
      <c r="B93" s="183" t="s">
        <v>23</v>
      </c>
      <c r="C93" s="57">
        <v>208891.84899999999</v>
      </c>
      <c r="D93" s="57">
        <v>9761660.0600000005</v>
      </c>
      <c r="E93" s="184">
        <f t="shared" si="8"/>
        <v>450</v>
      </c>
      <c r="F93" s="185">
        <v>550</v>
      </c>
      <c r="G93" s="65" t="s">
        <v>120</v>
      </c>
      <c r="H93" s="186" t="s">
        <v>47</v>
      </c>
      <c r="I93" s="186">
        <v>8</v>
      </c>
      <c r="J93" s="186">
        <v>2</v>
      </c>
      <c r="K93" s="187">
        <f t="shared" si="6"/>
        <v>100</v>
      </c>
      <c r="L93" s="188">
        <v>1.2</v>
      </c>
      <c r="M93" s="189" t="s">
        <v>50</v>
      </c>
      <c r="N93" s="190">
        <f t="shared" si="1"/>
        <v>485.99999999999994</v>
      </c>
      <c r="O93" s="190">
        <f t="shared" si="2"/>
        <v>40795.167722713508</v>
      </c>
      <c r="P93" s="190">
        <f t="shared" si="3"/>
        <v>630</v>
      </c>
      <c r="Q93" s="192">
        <f t="shared" si="4"/>
        <v>485.99999999999994</v>
      </c>
    </row>
    <row r="94" spans="1:17" s="172" customFormat="1" ht="17.100000000000001" customHeight="1" x14ac:dyDescent="0.25">
      <c r="A94" s="56"/>
      <c r="B94" s="183"/>
      <c r="C94" s="57"/>
      <c r="D94" s="57"/>
      <c r="E94" s="184">
        <f t="shared" si="8"/>
        <v>550</v>
      </c>
      <c r="F94" s="185">
        <v>750</v>
      </c>
      <c r="G94" s="65" t="s">
        <v>116</v>
      </c>
      <c r="H94" s="186"/>
      <c r="I94" s="186"/>
      <c r="J94" s="186"/>
      <c r="K94" s="187">
        <f t="shared" si="6"/>
        <v>200</v>
      </c>
      <c r="L94" s="188"/>
      <c r="M94" s="189" t="s">
        <v>41</v>
      </c>
      <c r="N94" s="190">
        <f t="shared" si="1"/>
        <v>180.57741866833967</v>
      </c>
      <c r="O94" s="190">
        <f t="shared" si="2"/>
        <v>40975.745141381849</v>
      </c>
      <c r="P94" s="190">
        <f t="shared" si="3"/>
        <v>1260</v>
      </c>
      <c r="Q94" s="192">
        <f t="shared" si="4"/>
        <v>180.57741866833967</v>
      </c>
    </row>
    <row r="95" spans="1:17" s="172" customFormat="1" ht="26.1" customHeight="1" x14ac:dyDescent="0.25">
      <c r="A95" s="56">
        <v>4</v>
      </c>
      <c r="B95" s="183" t="s">
        <v>23</v>
      </c>
      <c r="C95" s="57">
        <v>208475.245</v>
      </c>
      <c r="D95" s="57">
        <v>9761828.7459999993</v>
      </c>
      <c r="E95" s="184">
        <f t="shared" si="8"/>
        <v>750</v>
      </c>
      <c r="F95" s="185">
        <v>950</v>
      </c>
      <c r="G95" s="65" t="s">
        <v>120</v>
      </c>
      <c r="H95" s="186" t="s">
        <v>47</v>
      </c>
      <c r="I95" s="186">
        <v>8</v>
      </c>
      <c r="J95" s="186">
        <v>2</v>
      </c>
      <c r="K95" s="187">
        <f t="shared" si="6"/>
        <v>200</v>
      </c>
      <c r="L95" s="188">
        <v>1.2</v>
      </c>
      <c r="M95" s="189" t="s">
        <v>50</v>
      </c>
      <c r="N95" s="190">
        <f t="shared" si="1"/>
        <v>971.99999999999989</v>
      </c>
      <c r="O95" s="190">
        <f t="shared" si="2"/>
        <v>41947.745141381849</v>
      </c>
      <c r="P95" s="190">
        <f t="shared" si="3"/>
        <v>1260</v>
      </c>
      <c r="Q95" s="192">
        <f t="shared" si="4"/>
        <v>971.99999999999989</v>
      </c>
    </row>
    <row r="96" spans="1:17" s="172" customFormat="1" ht="17.100000000000001" customHeight="1" x14ac:dyDescent="0.25">
      <c r="A96" s="56"/>
      <c r="B96" s="183"/>
      <c r="C96" s="198"/>
      <c r="D96" s="199"/>
      <c r="E96" s="184">
        <f t="shared" si="8"/>
        <v>950</v>
      </c>
      <c r="F96" s="185">
        <v>1250</v>
      </c>
      <c r="G96" s="65" t="s">
        <v>116</v>
      </c>
      <c r="H96" s="186"/>
      <c r="I96" s="186"/>
      <c r="J96" s="186"/>
      <c r="K96" s="187">
        <f t="shared" si="6"/>
        <v>300</v>
      </c>
      <c r="L96" s="188"/>
      <c r="M96" s="189" t="s">
        <v>41</v>
      </c>
      <c r="N96" s="190">
        <f t="shared" si="1"/>
        <v>270.86612800250953</v>
      </c>
      <c r="O96" s="190">
        <f t="shared" si="2"/>
        <v>42218.611269384361</v>
      </c>
      <c r="P96" s="190">
        <f t="shared" si="3"/>
        <v>1890</v>
      </c>
      <c r="Q96" s="192">
        <f t="shared" si="4"/>
        <v>270.86612800250953</v>
      </c>
    </row>
    <row r="97" spans="1:17" s="172" customFormat="1" ht="27.6" customHeight="1" x14ac:dyDescent="0.25">
      <c r="A97" s="56">
        <v>5</v>
      </c>
      <c r="B97" s="183" t="s">
        <v>23</v>
      </c>
      <c r="C97" s="57">
        <v>208140.45600000001</v>
      </c>
      <c r="D97" s="57">
        <v>9761996.909</v>
      </c>
      <c r="E97" s="184">
        <f t="shared" si="8"/>
        <v>1250</v>
      </c>
      <c r="F97" s="185">
        <v>1350</v>
      </c>
      <c r="G97" s="65" t="s">
        <v>120</v>
      </c>
      <c r="H97" s="186" t="s">
        <v>47</v>
      </c>
      <c r="I97" s="186">
        <v>8</v>
      </c>
      <c r="J97" s="186">
        <v>2</v>
      </c>
      <c r="K97" s="187">
        <f t="shared" si="6"/>
        <v>100</v>
      </c>
      <c r="L97" s="188">
        <v>1.2</v>
      </c>
      <c r="M97" s="189" t="s">
        <v>50</v>
      </c>
      <c r="N97" s="190">
        <f t="shared" si="1"/>
        <v>485.99999999999994</v>
      </c>
      <c r="O97" s="190">
        <f t="shared" si="2"/>
        <v>42704.611269384361</v>
      </c>
      <c r="P97" s="190">
        <f t="shared" si="3"/>
        <v>630</v>
      </c>
      <c r="Q97" s="192">
        <f t="shared" si="4"/>
        <v>485.99999999999994</v>
      </c>
    </row>
    <row r="98" spans="1:17" s="172" customFormat="1" ht="17.100000000000001" customHeight="1" x14ac:dyDescent="0.25">
      <c r="A98" s="56"/>
      <c r="B98" s="183"/>
      <c r="C98" s="198"/>
      <c r="D98" s="199"/>
      <c r="E98" s="184">
        <f t="shared" si="8"/>
        <v>1350</v>
      </c>
      <c r="F98" s="185">
        <v>1700</v>
      </c>
      <c r="G98" s="65" t="s">
        <v>116</v>
      </c>
      <c r="H98" s="186"/>
      <c r="I98" s="186"/>
      <c r="J98" s="186"/>
      <c r="K98" s="187">
        <f t="shared" si="6"/>
        <v>350</v>
      </c>
      <c r="L98" s="188"/>
      <c r="M98" s="189" t="s">
        <v>41</v>
      </c>
      <c r="N98" s="190">
        <f t="shared" si="1"/>
        <v>316.01048266959441</v>
      </c>
      <c r="O98" s="190">
        <f t="shared" si="2"/>
        <v>43020.621752053958</v>
      </c>
      <c r="P98" s="190">
        <f t="shared" si="3"/>
        <v>2205</v>
      </c>
      <c r="Q98" s="192">
        <f t="shared" si="4"/>
        <v>316.01048266959441</v>
      </c>
    </row>
    <row r="99" spans="1:17" s="172" customFormat="1" ht="27.6" customHeight="1" x14ac:dyDescent="0.25">
      <c r="A99" s="56">
        <v>6</v>
      </c>
      <c r="B99" s="183" t="s">
        <v>23</v>
      </c>
      <c r="C99" s="57">
        <v>207720.91899999999</v>
      </c>
      <c r="D99" s="57">
        <v>9762185.8389999997</v>
      </c>
      <c r="E99" s="184">
        <f t="shared" si="8"/>
        <v>1700</v>
      </c>
      <c r="F99" s="185">
        <v>1900</v>
      </c>
      <c r="G99" s="65" t="s">
        <v>120</v>
      </c>
      <c r="H99" s="186" t="s">
        <v>47</v>
      </c>
      <c r="I99" s="186">
        <v>8</v>
      </c>
      <c r="J99" s="186">
        <v>2</v>
      </c>
      <c r="K99" s="187">
        <f t="shared" si="6"/>
        <v>200</v>
      </c>
      <c r="L99" s="188">
        <v>1.2</v>
      </c>
      <c r="M99" s="189" t="s">
        <v>50</v>
      </c>
      <c r="N99" s="190">
        <f t="shared" si="1"/>
        <v>971.99999999999989</v>
      </c>
      <c r="O99" s="190">
        <f t="shared" si="2"/>
        <v>43992.621752053958</v>
      </c>
      <c r="P99" s="190">
        <f t="shared" si="3"/>
        <v>1260</v>
      </c>
      <c r="Q99" s="192">
        <f t="shared" si="4"/>
        <v>971.99999999999989</v>
      </c>
    </row>
    <row r="100" spans="1:17" s="172" customFormat="1" ht="27.6" customHeight="1" x14ac:dyDescent="0.25">
      <c r="A100" s="56">
        <v>7</v>
      </c>
      <c r="B100" s="183" t="s">
        <v>23</v>
      </c>
      <c r="C100" s="198">
        <v>207430.39199999999</v>
      </c>
      <c r="D100" s="199">
        <v>9762312.1420000009</v>
      </c>
      <c r="E100" s="184">
        <f t="shared" si="8"/>
        <v>1900</v>
      </c>
      <c r="F100" s="185">
        <v>2100</v>
      </c>
      <c r="G100" s="65" t="s">
        <v>119</v>
      </c>
      <c r="H100" s="186" t="s">
        <v>54</v>
      </c>
      <c r="I100" s="215">
        <v>9</v>
      </c>
      <c r="J100" s="215">
        <v>2</v>
      </c>
      <c r="K100" s="187">
        <f t="shared" si="6"/>
        <v>200</v>
      </c>
      <c r="L100" s="188">
        <v>2</v>
      </c>
      <c r="M100" s="189" t="s">
        <v>50</v>
      </c>
      <c r="N100" s="190">
        <f t="shared" si="1"/>
        <v>1860.0000000000002</v>
      </c>
      <c r="O100" s="190">
        <f t="shared" si="2"/>
        <v>45852.621752053958</v>
      </c>
      <c r="P100" s="190">
        <f t="shared" si="3"/>
        <v>1260</v>
      </c>
      <c r="Q100" s="192">
        <f t="shared" si="4"/>
        <v>1860.0000000000002</v>
      </c>
    </row>
    <row r="101" spans="1:17" s="172" customFormat="1" ht="23.7" customHeight="1" x14ac:dyDescent="0.25">
      <c r="A101" s="56">
        <v>8</v>
      </c>
      <c r="B101" s="183" t="s">
        <v>23</v>
      </c>
      <c r="C101" s="198">
        <v>207220.36900000001</v>
      </c>
      <c r="D101" s="199">
        <v>9762424.4210000001</v>
      </c>
      <c r="E101" s="184">
        <f t="shared" si="8"/>
        <v>2100</v>
      </c>
      <c r="F101" s="185">
        <v>2300</v>
      </c>
      <c r="G101" s="65" t="s">
        <v>120</v>
      </c>
      <c r="H101" s="186" t="s">
        <v>47</v>
      </c>
      <c r="I101" s="186">
        <v>8</v>
      </c>
      <c r="J101" s="186">
        <v>2</v>
      </c>
      <c r="K101" s="187">
        <f t="shared" si="6"/>
        <v>200</v>
      </c>
      <c r="L101" s="188">
        <v>1.2</v>
      </c>
      <c r="M101" s="189" t="s">
        <v>50</v>
      </c>
      <c r="N101" s="190">
        <f t="shared" si="1"/>
        <v>971.99999999999989</v>
      </c>
      <c r="O101" s="190">
        <f t="shared" si="2"/>
        <v>46824.621752053958</v>
      </c>
      <c r="P101" s="190">
        <f t="shared" si="3"/>
        <v>1260</v>
      </c>
      <c r="Q101" s="192">
        <f t="shared" si="4"/>
        <v>971.99999999999989</v>
      </c>
    </row>
    <row r="102" spans="1:17" s="172" customFormat="1" ht="17.100000000000001" customHeight="1" x14ac:dyDescent="0.25">
      <c r="A102" s="56"/>
      <c r="B102" s="183"/>
      <c r="C102" s="57"/>
      <c r="D102" s="57"/>
      <c r="E102" s="184">
        <f t="shared" si="8"/>
        <v>2300</v>
      </c>
      <c r="F102" s="185">
        <v>2700</v>
      </c>
      <c r="G102" s="65" t="s">
        <v>116</v>
      </c>
      <c r="H102" s="186"/>
      <c r="I102" s="186"/>
      <c r="J102" s="186"/>
      <c r="K102" s="187">
        <f t="shared" si="6"/>
        <v>400</v>
      </c>
      <c r="L102" s="188"/>
      <c r="M102" s="189" t="s">
        <v>41</v>
      </c>
      <c r="N102" s="190">
        <f t="shared" si="1"/>
        <v>361.15483733667935</v>
      </c>
      <c r="O102" s="190">
        <f t="shared" si="2"/>
        <v>47185.77658939064</v>
      </c>
      <c r="P102" s="190">
        <f t="shared" si="3"/>
        <v>2520</v>
      </c>
      <c r="Q102" s="192">
        <f t="shared" si="4"/>
        <v>361.15483733667935</v>
      </c>
    </row>
    <row r="103" spans="1:17" s="172" customFormat="1" ht="24.45" customHeight="1" x14ac:dyDescent="0.25">
      <c r="A103" s="56">
        <v>9</v>
      </c>
      <c r="B103" s="183" t="s">
        <v>23</v>
      </c>
      <c r="C103" s="198">
        <v>206778.74900000001</v>
      </c>
      <c r="D103" s="199">
        <v>9762700.5050000008</v>
      </c>
      <c r="E103" s="184">
        <f t="shared" si="8"/>
        <v>2700</v>
      </c>
      <c r="F103" s="185">
        <v>2900</v>
      </c>
      <c r="G103" s="65" t="s">
        <v>119</v>
      </c>
      <c r="H103" s="186" t="s">
        <v>54</v>
      </c>
      <c r="I103" s="215">
        <v>9</v>
      </c>
      <c r="J103" s="215">
        <v>2</v>
      </c>
      <c r="K103" s="187">
        <f t="shared" si="6"/>
        <v>200</v>
      </c>
      <c r="L103" s="188">
        <v>2</v>
      </c>
      <c r="M103" s="189" t="s">
        <v>50</v>
      </c>
      <c r="N103" s="190">
        <f t="shared" si="1"/>
        <v>1860.0000000000002</v>
      </c>
      <c r="O103" s="190">
        <f t="shared" si="2"/>
        <v>49045.77658939064</v>
      </c>
      <c r="P103" s="190">
        <f t="shared" si="3"/>
        <v>1260</v>
      </c>
      <c r="Q103" s="192">
        <f t="shared" si="4"/>
        <v>1860.0000000000002</v>
      </c>
    </row>
    <row r="104" spans="1:17" s="172" customFormat="1" ht="26.85" customHeight="1" x14ac:dyDescent="0.25">
      <c r="A104" s="56">
        <v>10</v>
      </c>
      <c r="B104" s="183" t="s">
        <v>23</v>
      </c>
      <c r="C104" s="57">
        <v>206693.323</v>
      </c>
      <c r="D104" s="57">
        <v>9762727.1349999998</v>
      </c>
      <c r="E104" s="184">
        <f t="shared" si="8"/>
        <v>2900</v>
      </c>
      <c r="F104" s="185">
        <v>3100</v>
      </c>
      <c r="G104" s="65" t="s">
        <v>119</v>
      </c>
      <c r="H104" s="186" t="s">
        <v>54</v>
      </c>
      <c r="I104" s="215">
        <v>9</v>
      </c>
      <c r="J104" s="215">
        <v>2</v>
      </c>
      <c r="K104" s="187">
        <f t="shared" si="6"/>
        <v>200</v>
      </c>
      <c r="L104" s="188">
        <v>2</v>
      </c>
      <c r="M104" s="189" t="s">
        <v>50</v>
      </c>
      <c r="N104" s="190">
        <f t="shared" si="1"/>
        <v>1860.0000000000002</v>
      </c>
      <c r="O104" s="190">
        <f t="shared" si="2"/>
        <v>50905.77658939064</v>
      </c>
      <c r="P104" s="190">
        <f t="shared" si="3"/>
        <v>1260</v>
      </c>
      <c r="Q104" s="192">
        <f t="shared" si="4"/>
        <v>1860.0000000000002</v>
      </c>
    </row>
    <row r="105" spans="1:17" s="172" customFormat="1" ht="36.450000000000003" customHeight="1" x14ac:dyDescent="0.25">
      <c r="A105" s="228">
        <v>11</v>
      </c>
      <c r="B105" s="188" t="s">
        <v>23</v>
      </c>
      <c r="C105" s="57">
        <v>206375.79399999999</v>
      </c>
      <c r="D105" s="57">
        <v>9762887.9149999991</v>
      </c>
      <c r="E105" s="184">
        <f t="shared" si="8"/>
        <v>3100</v>
      </c>
      <c r="F105" s="185">
        <v>3300</v>
      </c>
      <c r="G105" s="65" t="s">
        <v>127</v>
      </c>
      <c r="H105" s="229" t="s">
        <v>62</v>
      </c>
      <c r="I105" s="186">
        <v>8</v>
      </c>
      <c r="J105" s="186">
        <v>2</v>
      </c>
      <c r="K105" s="187">
        <f t="shared" si="6"/>
        <v>200</v>
      </c>
      <c r="L105" s="188">
        <v>1.2</v>
      </c>
      <c r="M105" s="189" t="s">
        <v>50</v>
      </c>
      <c r="N105" s="190">
        <f t="shared" si="1"/>
        <v>971.99999999999989</v>
      </c>
      <c r="O105" s="190">
        <f t="shared" si="2"/>
        <v>51877.77658939064</v>
      </c>
      <c r="P105" s="190">
        <f t="shared" si="3"/>
        <v>1260</v>
      </c>
      <c r="Q105" s="192">
        <f t="shared" si="4"/>
        <v>971.99999999999989</v>
      </c>
    </row>
    <row r="106" spans="1:17" s="172" customFormat="1" ht="17.100000000000001" customHeight="1" x14ac:dyDescent="0.25">
      <c r="A106" s="228"/>
      <c r="B106" s="188"/>
      <c r="C106" s="57"/>
      <c r="D106" s="57"/>
      <c r="E106" s="184"/>
      <c r="F106" s="185"/>
      <c r="G106" s="230"/>
      <c r="H106" s="229"/>
      <c r="I106" s="188"/>
      <c r="J106" s="188"/>
      <c r="K106" s="187">
        <f t="shared" si="6"/>
        <v>0</v>
      </c>
      <c r="L106" s="231"/>
      <c r="M106" s="189"/>
      <c r="N106" s="190">
        <f t="shared" si="1"/>
        <v>0</v>
      </c>
      <c r="O106" s="190">
        <f t="shared" si="2"/>
        <v>51877.77658939064</v>
      </c>
      <c r="P106" s="190">
        <f t="shared" si="3"/>
        <v>0</v>
      </c>
      <c r="Q106" s="192">
        <f t="shared" si="4"/>
        <v>0</v>
      </c>
    </row>
    <row r="107" spans="1:17" ht="17.100000000000001" customHeight="1" x14ac:dyDescent="0.25">
      <c r="A107" s="232" t="s">
        <v>128</v>
      </c>
      <c r="B107" s="233"/>
      <c r="C107" s="233"/>
      <c r="D107" s="233"/>
      <c r="E107" s="233"/>
      <c r="F107" s="233"/>
      <c r="G107" s="233"/>
      <c r="H107" s="234" t="s">
        <v>43</v>
      </c>
      <c r="I107" s="235">
        <f>SUMIF($H$36:H106,$H$2,$I$36:I106)</f>
        <v>0</v>
      </c>
      <c r="J107" s="236">
        <f>SUMIF($H$36:H106,$H$2,$J$36:J106)</f>
        <v>0</v>
      </c>
      <c r="K107" s="237">
        <f>ROUND(SUM(K36:K106),2)</f>
        <v>13100</v>
      </c>
      <c r="L107" s="238"/>
      <c r="M107" s="239"/>
      <c r="N107" s="240"/>
      <c r="O107" s="241">
        <f>ROUND(O106,2)</f>
        <v>51877.78</v>
      </c>
      <c r="P107" s="242">
        <f>ROUND(SUM(P36:P106),2)</f>
        <v>82530</v>
      </c>
      <c r="Q107" s="243">
        <f>ROUND(SUM(Q36:Q106),2)</f>
        <v>51877.78</v>
      </c>
    </row>
    <row r="108" spans="1:17" ht="17.100000000000001" customHeight="1" x14ac:dyDescent="0.25">
      <c r="A108" s="244"/>
      <c r="B108" s="245"/>
      <c r="C108" s="245"/>
      <c r="D108" s="245"/>
      <c r="E108" s="245"/>
      <c r="F108" s="245"/>
      <c r="G108" s="245"/>
      <c r="H108" s="246" t="s">
        <v>47</v>
      </c>
      <c r="I108" s="247">
        <f>SUMIF($H$36:H106,$H$3,$I$36:I106)</f>
        <v>160</v>
      </c>
      <c r="J108" s="248">
        <f>SUMIF($H$36:H106,$H$3,$J$36:J106)</f>
        <v>40</v>
      </c>
      <c r="K108" s="249"/>
      <c r="L108" s="250"/>
      <c r="M108" s="251"/>
      <c r="N108" s="252"/>
      <c r="O108" s="253"/>
      <c r="P108" s="254"/>
      <c r="Q108" s="255"/>
    </row>
    <row r="109" spans="1:17" ht="17.100000000000001" customHeight="1" x14ac:dyDescent="0.25">
      <c r="A109" s="244"/>
      <c r="B109" s="245"/>
      <c r="C109" s="245"/>
      <c r="D109" s="245"/>
      <c r="E109" s="245"/>
      <c r="F109" s="245"/>
      <c r="G109" s="256"/>
      <c r="H109" s="246" t="s">
        <v>51</v>
      </c>
      <c r="I109" s="247">
        <f>SUMIF($H$36:H106,$H$4,$I$36:I106)</f>
        <v>0</v>
      </c>
      <c r="J109" s="248">
        <f>SUMIF($H$36:H106,$H$4,$J$36:J106)</f>
        <v>0</v>
      </c>
      <c r="K109" s="249"/>
      <c r="L109" s="250"/>
      <c r="M109" s="250"/>
      <c r="N109" s="250"/>
      <c r="O109" s="253"/>
      <c r="P109" s="254"/>
      <c r="Q109" s="257"/>
    </row>
    <row r="110" spans="1:17" ht="17.100000000000001" customHeight="1" x14ac:dyDescent="0.25">
      <c r="A110" s="244"/>
      <c r="B110" s="245"/>
      <c r="C110" s="245"/>
      <c r="D110" s="245"/>
      <c r="E110" s="245"/>
      <c r="F110" s="245"/>
      <c r="G110" s="256"/>
      <c r="H110" s="246" t="s">
        <v>54</v>
      </c>
      <c r="I110" s="247">
        <f>SUMIF($H$36:H106,$H$5,$I$36:I106)</f>
        <v>90</v>
      </c>
      <c r="J110" s="248">
        <f>SUMIF($H$36:H106,$H$5,$J$36:J106)</f>
        <v>20</v>
      </c>
      <c r="K110" s="249"/>
      <c r="L110" s="250"/>
      <c r="M110" s="258" t="s">
        <v>129</v>
      </c>
      <c r="N110" s="250"/>
      <c r="O110" s="253"/>
      <c r="P110" s="254"/>
      <c r="Q110" s="257"/>
    </row>
    <row r="111" spans="1:17" ht="17.100000000000001" customHeight="1" x14ac:dyDescent="0.25">
      <c r="A111" s="244"/>
      <c r="B111" s="245"/>
      <c r="C111" s="245"/>
      <c r="D111" s="245"/>
      <c r="E111" s="245"/>
      <c r="F111" s="245"/>
      <c r="G111" s="256"/>
      <c r="H111" s="246" t="s">
        <v>56</v>
      </c>
      <c r="I111" s="247">
        <f>SUMIF($H$36:H106,$H$6,$I$36:I106)</f>
        <v>0</v>
      </c>
      <c r="J111" s="248">
        <f>SUMIF($H$36:H106,$H$6,$J$36:J106)</f>
        <v>0</v>
      </c>
      <c r="K111" s="249"/>
      <c r="L111" s="250"/>
      <c r="M111" s="259" t="s">
        <v>130</v>
      </c>
      <c r="N111" s="260">
        <f>ROUND(O107-(SUM(N112:N122)),2)</f>
        <v>6184.78</v>
      </c>
      <c r="O111" s="253"/>
      <c r="P111" s="254"/>
      <c r="Q111" s="257"/>
    </row>
    <row r="112" spans="1:17" ht="17.100000000000001" customHeight="1" x14ac:dyDescent="0.25">
      <c r="A112" s="244"/>
      <c r="B112" s="245"/>
      <c r="C112" s="245"/>
      <c r="D112" s="245"/>
      <c r="E112" s="245"/>
      <c r="F112" s="245"/>
      <c r="G112" s="256"/>
      <c r="H112" s="246" t="s">
        <v>58</v>
      </c>
      <c r="I112" s="247">
        <f>SUMIF($H$36:H106,$H$7,$I$36:I106)</f>
        <v>0</v>
      </c>
      <c r="J112" s="248">
        <f>SUMIF($H$36:H106,$H$7,$J$36:J106)</f>
        <v>0</v>
      </c>
      <c r="K112" s="249"/>
      <c r="L112" s="250"/>
      <c r="M112" s="261" t="s">
        <v>45</v>
      </c>
      <c r="N112" s="262">
        <f>SUMIF($M$35:$M$106,"DMT≤50",$N$35:$N$106)</f>
        <v>0</v>
      </c>
      <c r="O112" s="253"/>
      <c r="P112" s="254"/>
      <c r="Q112" s="257"/>
    </row>
    <row r="113" spans="1:17" ht="17.100000000000001" customHeight="1" x14ac:dyDescent="0.25">
      <c r="A113" s="244"/>
      <c r="B113" s="245"/>
      <c r="C113" s="245"/>
      <c r="D113" s="245"/>
      <c r="E113" s="245"/>
      <c r="F113" s="245"/>
      <c r="G113" s="256"/>
      <c r="H113" s="246" t="s">
        <v>60</v>
      </c>
      <c r="I113" s="247">
        <f>SUMIF($H$36:H106,$H$8,$I$36:I106)</f>
        <v>0</v>
      </c>
      <c r="J113" s="248">
        <f>SUMIF($H$36:H106,$H$8,$J$36:J106)</f>
        <v>0</v>
      </c>
      <c r="K113" s="249"/>
      <c r="L113" s="250"/>
      <c r="M113" s="261" t="s">
        <v>50</v>
      </c>
      <c r="N113" s="262">
        <f>SUMIF($M$35:$M$106,"50&lt;DMT≤200",$N$35:$N$106)</f>
        <v>45693</v>
      </c>
      <c r="O113" s="253"/>
      <c r="P113" s="254"/>
      <c r="Q113" s="257"/>
    </row>
    <row r="114" spans="1:17" ht="17.100000000000001" customHeight="1" x14ac:dyDescent="0.25">
      <c r="A114" s="1520" t="s">
        <v>131</v>
      </c>
      <c r="B114" s="1520"/>
      <c r="C114" s="1520"/>
      <c r="D114" s="1520"/>
      <c r="E114" s="1520"/>
      <c r="F114" s="1520"/>
      <c r="G114" s="1520"/>
      <c r="H114" s="246" t="s">
        <v>62</v>
      </c>
      <c r="I114" s="247">
        <f>SUMIF($H$36:H106,$H$9,$I$36:I106)</f>
        <v>8</v>
      </c>
      <c r="J114" s="248">
        <f>SUMIF($H$36:H106,$H$9,$J$36:J106)</f>
        <v>2</v>
      </c>
      <c r="K114" s="249"/>
      <c r="L114" s="250"/>
      <c r="M114" s="261" t="s">
        <v>53</v>
      </c>
      <c r="N114" s="262">
        <f>SUMIF($M$35:$M$106,"200&lt;DMT≤400",$N$35:$N$106)</f>
        <v>0</v>
      </c>
      <c r="O114" s="253"/>
      <c r="P114" s="254"/>
      <c r="Q114" s="257"/>
    </row>
    <row r="115" spans="1:17" ht="17.100000000000001" customHeight="1" x14ac:dyDescent="0.25">
      <c r="A115" s="1520"/>
      <c r="B115" s="1520"/>
      <c r="C115" s="1520"/>
      <c r="D115" s="1520"/>
      <c r="E115" s="1520"/>
      <c r="F115" s="1520"/>
      <c r="G115" s="1520"/>
      <c r="H115" s="246" t="s">
        <v>64</v>
      </c>
      <c r="I115" s="247">
        <f>SUMIF($H$36:H106,$H$10,$I$36:I106)</f>
        <v>0</v>
      </c>
      <c r="J115" s="248">
        <f>SUMIF($H$36:H106,$H$10,$J$36:J106)</f>
        <v>0</v>
      </c>
      <c r="K115" s="249"/>
      <c r="L115" s="250"/>
      <c r="M115" s="261" t="s">
        <v>55</v>
      </c>
      <c r="N115" s="262">
        <f>SUMIF($M$35:$M$106,"400&lt;DMT≤600",$N$35:$N$106)</f>
        <v>0</v>
      </c>
      <c r="O115" s="253"/>
      <c r="P115" s="254"/>
      <c r="Q115" s="257"/>
    </row>
    <row r="116" spans="1:17" ht="17.100000000000001" customHeight="1" x14ac:dyDescent="0.25">
      <c r="A116" s="1515" t="s">
        <v>132</v>
      </c>
      <c r="B116" s="1515"/>
      <c r="C116" s="1515"/>
      <c r="D116" s="1515"/>
      <c r="E116" s="1515"/>
      <c r="F116" s="1515"/>
      <c r="G116" s="1515"/>
      <c r="H116" s="246" t="s">
        <v>66</v>
      </c>
      <c r="I116" s="247">
        <f>SUMIF($H$36:H106,$H$11,$I$36:I106)</f>
        <v>18</v>
      </c>
      <c r="J116" s="248">
        <f>SUMIF($H$36:H106,$H$11,$J$36:J106)</f>
        <v>4</v>
      </c>
      <c r="K116" s="249"/>
      <c r="L116" s="250"/>
      <c r="M116" s="261" t="s">
        <v>57</v>
      </c>
      <c r="N116" s="262">
        <f>SUMIF($M$35:$M$106,"600&lt;DMT≤800",$N$35:$N$106)</f>
        <v>0</v>
      </c>
      <c r="O116" s="253"/>
      <c r="P116" s="254"/>
      <c r="Q116" s="257"/>
    </row>
    <row r="117" spans="1:17" ht="17.100000000000001" customHeight="1" x14ac:dyDescent="0.25">
      <c r="A117" s="1515"/>
      <c r="B117" s="1515"/>
      <c r="C117" s="1515"/>
      <c r="D117" s="1515"/>
      <c r="E117" s="1515"/>
      <c r="F117" s="1515"/>
      <c r="G117" s="1515"/>
      <c r="H117" s="246" t="s">
        <v>68</v>
      </c>
      <c r="I117" s="247">
        <f>SUMIF($H$36:H106,$H$12,$I$36:I106)</f>
        <v>0</v>
      </c>
      <c r="J117" s="248">
        <f>SUMIF($H$36:H106,$H$12,$J$36:J106)</f>
        <v>0</v>
      </c>
      <c r="K117" s="249"/>
      <c r="L117" s="250"/>
      <c r="M117" s="261" t="s">
        <v>59</v>
      </c>
      <c r="N117" s="262">
        <f>SUMIF($M$35:$M$106,"800&lt;DMT≤1000",$N$35:$N$106)</f>
        <v>0</v>
      </c>
      <c r="O117" s="253"/>
      <c r="P117" s="254"/>
      <c r="Q117" s="257"/>
    </row>
    <row r="118" spans="1:17" ht="17.100000000000001" customHeight="1" x14ac:dyDescent="0.25">
      <c r="A118" s="263"/>
      <c r="B118" s="264"/>
      <c r="C118" s="264"/>
      <c r="D118" s="264"/>
      <c r="E118" s="264"/>
      <c r="F118" s="264"/>
      <c r="G118" s="265"/>
      <c r="H118" s="246" t="s">
        <v>70</v>
      </c>
      <c r="I118" s="247">
        <f>SUMIF($H$36:H106,$H$13,$I$36:I106)</f>
        <v>0</v>
      </c>
      <c r="J118" s="248">
        <f>SUMIF($H$36:H106,$H$13,$J$36:J106)</f>
        <v>0</v>
      </c>
      <c r="K118" s="249"/>
      <c r="L118" s="250"/>
      <c r="M118" s="261" t="s">
        <v>61</v>
      </c>
      <c r="N118" s="262">
        <f>SUMIF($M$35:$M$106,"DMT&gt;1000",$N$35:$N$106)</f>
        <v>0</v>
      </c>
      <c r="O118" s="253"/>
      <c r="P118" s="254"/>
      <c r="Q118" s="257"/>
    </row>
    <row r="119" spans="1:17" ht="17.100000000000001" customHeight="1" x14ac:dyDescent="0.25">
      <c r="A119" s="266"/>
      <c r="B119" s="266"/>
      <c r="C119" s="266"/>
      <c r="D119" s="266"/>
      <c r="E119" s="266"/>
      <c r="F119" s="266"/>
      <c r="G119" s="266"/>
      <c r="H119" s="246" t="s">
        <v>71</v>
      </c>
      <c r="I119" s="247">
        <f>SUMIF($H$36:H106,$H$14,$I$36:I106)</f>
        <v>0</v>
      </c>
      <c r="J119" s="267">
        <f>SUMIF($H$36:H106,$H$14,$J$36:J106)</f>
        <v>0</v>
      </c>
      <c r="K119" s="249"/>
      <c r="L119" s="250"/>
      <c r="M119" s="261" t="s">
        <v>63</v>
      </c>
      <c r="N119" s="262">
        <f>SUMIF($M$35:$M$106,"DMT≤50 (2ª Cat)",$N$35:$N$106)</f>
        <v>0</v>
      </c>
      <c r="O119" s="253"/>
      <c r="P119" s="254"/>
      <c r="Q119" s="257"/>
    </row>
    <row r="120" spans="1:17" ht="17.100000000000001" customHeight="1" x14ac:dyDescent="0.25">
      <c r="A120" s="266"/>
      <c r="B120" s="250"/>
      <c r="C120" s="268" t="s">
        <v>133</v>
      </c>
      <c r="D120" s="250"/>
      <c r="E120" s="269"/>
      <c r="F120" s="269"/>
      <c r="G120" s="266"/>
      <c r="H120" s="246" t="s">
        <v>72</v>
      </c>
      <c r="I120" s="247">
        <f>SUMIF($H$36:H106,$H$15,$I$36:I106)</f>
        <v>0</v>
      </c>
      <c r="J120" s="267">
        <f>SUMIF($H$36:H106,$H$15,$J$36:J106)</f>
        <v>0</v>
      </c>
      <c r="K120" s="249"/>
      <c r="L120" s="250"/>
      <c r="M120" s="261" t="s">
        <v>65</v>
      </c>
      <c r="N120" s="262">
        <f>SUMIF($M$35:$M$106,"50&lt;DMT≤200 (2ª Cat)",$N$35:$N$106)</f>
        <v>0</v>
      </c>
      <c r="O120" s="253"/>
      <c r="P120" s="254"/>
      <c r="Q120" s="257"/>
    </row>
    <row r="121" spans="1:17" ht="17.100000000000001" customHeight="1" x14ac:dyDescent="0.25">
      <c r="A121" s="266"/>
      <c r="B121" s="270" t="s">
        <v>134</v>
      </c>
      <c r="C121" s="250"/>
      <c r="D121" s="250"/>
      <c r="E121" s="269"/>
      <c r="F121" s="269"/>
      <c r="G121" s="266"/>
      <c r="H121" s="246" t="s">
        <v>73</v>
      </c>
      <c r="I121" s="247">
        <f>SUMIF($H$36:H106,$H$16,$I$36:I106)</f>
        <v>0</v>
      </c>
      <c r="J121" s="248">
        <f>SUMIF($H$36:H106,$H$16,$J$36:J106)</f>
        <v>0</v>
      </c>
      <c r="K121" s="249"/>
      <c r="L121" s="250"/>
      <c r="M121" s="261" t="s">
        <v>67</v>
      </c>
      <c r="N121" s="262">
        <f>SUMIF($M$35:$M$106,"200&lt;DMT≤1000 (2ª Cat)",$N$35:$N$106)</f>
        <v>0</v>
      </c>
      <c r="O121" s="253"/>
      <c r="P121" s="254"/>
      <c r="Q121" s="257"/>
    </row>
    <row r="122" spans="1:17" ht="17.100000000000001" customHeight="1" x14ac:dyDescent="0.25">
      <c r="A122" s="250"/>
      <c r="B122" s="271"/>
      <c r="C122" s="272"/>
      <c r="D122" s="273" t="s">
        <v>135</v>
      </c>
      <c r="E122" s="274">
        <v>9</v>
      </c>
      <c r="F122" s="275" t="s">
        <v>136</v>
      </c>
      <c r="G122" s="266"/>
      <c r="H122" s="246" t="s">
        <v>74</v>
      </c>
      <c r="I122" s="247">
        <f>SUMIF($H$36:H106,$H$17,$I$36:I106)</f>
        <v>0</v>
      </c>
      <c r="J122" s="248">
        <f>SUMIF($H$36:H106,$H$17,$J$36:J106)</f>
        <v>0</v>
      </c>
      <c r="K122" s="249"/>
      <c r="L122" s="250"/>
      <c r="M122" s="276" t="s">
        <v>69</v>
      </c>
      <c r="N122" s="277">
        <f>SUMIF($M$35:$M$106,"DMT≤50 (3ª Cat)",$N$35:$N$106)</f>
        <v>0</v>
      </c>
      <c r="O122" s="253"/>
      <c r="P122" s="254"/>
      <c r="Q122" s="257"/>
    </row>
    <row r="123" spans="1:17" ht="17.100000000000001" customHeight="1" x14ac:dyDescent="0.25">
      <c r="A123" s="250"/>
      <c r="B123" s="278"/>
      <c r="C123" s="279"/>
      <c r="D123" s="280" t="s">
        <v>137</v>
      </c>
      <c r="E123" s="281">
        <v>3</v>
      </c>
      <c r="F123" s="282" t="s">
        <v>136</v>
      </c>
      <c r="G123" s="250"/>
      <c r="H123" s="246" t="s">
        <v>75</v>
      </c>
      <c r="I123" s="247">
        <f>SUMIF($H$36:H106,$H$18,$I$36:I106)</f>
        <v>0</v>
      </c>
      <c r="J123" s="248">
        <f>SUMIF($H$36:H106,$H$18,$J$36:J106)</f>
        <v>0</v>
      </c>
      <c r="K123" s="249"/>
      <c r="L123" s="250"/>
      <c r="M123" s="251"/>
      <c r="N123" s="283"/>
      <c r="O123" s="253"/>
      <c r="P123" s="254"/>
      <c r="Q123" s="257"/>
    </row>
    <row r="124" spans="1:17" ht="17.100000000000001" customHeight="1" x14ac:dyDescent="0.25">
      <c r="A124" s="250"/>
      <c r="B124" s="284"/>
      <c r="C124" s="285"/>
      <c r="D124" s="286" t="s">
        <v>138</v>
      </c>
      <c r="E124" s="287">
        <v>0</v>
      </c>
      <c r="F124" s="288" t="s">
        <v>136</v>
      </c>
      <c r="G124" s="250"/>
      <c r="H124" s="246" t="s">
        <v>76</v>
      </c>
      <c r="I124" s="247">
        <f>SUMIF($H$36:H106,$H$19,$I$36:I106)</f>
        <v>0</v>
      </c>
      <c r="J124" s="248">
        <f>SUMIF($H$36:H106,$H$19,$J$36:J106)</f>
        <v>0</v>
      </c>
      <c r="K124" s="249"/>
      <c r="L124" s="250"/>
      <c r="M124" s="251"/>
      <c r="N124" s="283"/>
      <c r="O124" s="253"/>
      <c r="P124" s="254"/>
      <c r="Q124" s="257"/>
    </row>
    <row r="125" spans="1:17" ht="17.100000000000001" customHeight="1" x14ac:dyDescent="0.25">
      <c r="A125" s="250"/>
      <c r="B125" s="131"/>
      <c r="C125" s="131"/>
      <c r="D125" s="131"/>
      <c r="E125" s="131"/>
      <c r="F125" s="250"/>
      <c r="G125" s="250"/>
      <c r="H125" s="246" t="s">
        <v>77</v>
      </c>
      <c r="I125" s="247">
        <f>SUMIF($H$36:H106,$H$20,$I$36:I106)</f>
        <v>0</v>
      </c>
      <c r="J125" s="248"/>
      <c r="K125" s="249"/>
      <c r="L125" s="250"/>
      <c r="M125" s="251"/>
      <c r="N125" s="283"/>
      <c r="O125" s="253"/>
      <c r="P125" s="254"/>
      <c r="Q125" s="257"/>
    </row>
    <row r="126" spans="1:17" ht="17.100000000000001" customHeight="1" x14ac:dyDescent="0.25">
      <c r="A126" s="250"/>
      <c r="B126" s="270" t="s">
        <v>139</v>
      </c>
      <c r="C126" s="268"/>
      <c r="D126" s="268"/>
      <c r="E126" s="289"/>
      <c r="F126" s="289"/>
      <c r="G126" s="250"/>
      <c r="H126" s="290" t="s">
        <v>78</v>
      </c>
      <c r="I126" s="247">
        <f>SUMIF($H$36:H106,$H$21,$I$36:I106)</f>
        <v>38</v>
      </c>
      <c r="J126" s="248"/>
      <c r="K126" s="249"/>
      <c r="L126" s="250"/>
      <c r="M126" s="251"/>
      <c r="N126" s="283"/>
      <c r="O126" s="253"/>
      <c r="P126" s="254"/>
      <c r="Q126" s="257"/>
    </row>
    <row r="127" spans="1:17" ht="17.100000000000001" customHeight="1" x14ac:dyDescent="0.25">
      <c r="A127" s="250"/>
      <c r="B127" s="271"/>
      <c r="C127" s="272"/>
      <c r="D127" s="291" t="s">
        <v>140</v>
      </c>
      <c r="E127" s="292">
        <f>((E129)*(((E128+E130)/2)))</f>
        <v>0.90288709334169837</v>
      </c>
      <c r="F127" s="293" t="s">
        <v>141</v>
      </c>
      <c r="G127" s="250"/>
      <c r="H127" s="246" t="s">
        <v>79</v>
      </c>
      <c r="I127" s="247">
        <f>SUMIF($H$36:H106,$H$22,$I$36:I106)</f>
        <v>0</v>
      </c>
      <c r="J127" s="248"/>
      <c r="K127" s="249"/>
      <c r="L127" s="250"/>
      <c r="M127" s="250"/>
      <c r="N127" s="283"/>
      <c r="O127" s="253"/>
      <c r="P127" s="254"/>
      <c r="Q127" s="257"/>
    </row>
    <row r="128" spans="1:17" ht="17.100000000000001" customHeight="1" x14ac:dyDescent="0.25">
      <c r="A128" s="250"/>
      <c r="B128" s="278"/>
      <c r="C128" s="279"/>
      <c r="D128" s="294" t="s">
        <v>142</v>
      </c>
      <c r="E128" s="281">
        <v>6.3</v>
      </c>
      <c r="F128" s="295" t="s">
        <v>136</v>
      </c>
      <c r="G128" s="269"/>
      <c r="H128" s="296" t="s">
        <v>80</v>
      </c>
      <c r="I128" s="297">
        <f>SUMIF($H$36:H106,$H$23,$I$36:I106)</f>
        <v>0</v>
      </c>
      <c r="J128" s="298"/>
      <c r="K128" s="299"/>
      <c r="L128" s="300"/>
      <c r="M128" s="301"/>
      <c r="N128" s="302"/>
      <c r="O128" s="303"/>
      <c r="P128" s="304"/>
      <c r="Q128" s="305"/>
    </row>
    <row r="129" spans="1:17" ht="17.100000000000001" customHeight="1" x14ac:dyDescent="0.25">
      <c r="A129" s="250"/>
      <c r="B129" s="278"/>
      <c r="C129" s="279"/>
      <c r="D129" s="294" t="s">
        <v>143</v>
      </c>
      <c r="E129" s="306">
        <v>0.13873284</v>
      </c>
      <c r="F129" s="295" t="s">
        <v>136</v>
      </c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</row>
    <row r="130" spans="1:17" ht="39.9" customHeight="1" x14ac:dyDescent="0.3">
      <c r="A130" s="307"/>
      <c r="B130" s="1516" t="s">
        <v>144</v>
      </c>
      <c r="C130" s="1516"/>
      <c r="D130" s="1516"/>
      <c r="E130" s="308">
        <f>E128+(3*E129)</f>
        <v>6.7161985199999998</v>
      </c>
      <c r="F130" s="295"/>
      <c r="G130" s="269"/>
      <c r="H130" s="269"/>
      <c r="I130" s="309" t="s">
        <v>145</v>
      </c>
      <c r="K130" s="307"/>
      <c r="L130" s="307"/>
      <c r="N130" s="269"/>
      <c r="O130" s="269"/>
      <c r="P130" s="269"/>
      <c r="Q130" s="269"/>
    </row>
    <row r="131" spans="1:17" ht="17.100000000000001" customHeight="1" x14ac:dyDescent="0.25">
      <c r="A131" s="307"/>
      <c r="B131" s="284"/>
      <c r="C131" s="285"/>
      <c r="D131" s="310" t="s">
        <v>146</v>
      </c>
      <c r="E131" s="311" t="s">
        <v>42</v>
      </c>
      <c r="F131" s="312"/>
      <c r="G131" s="269"/>
      <c r="H131" s="269"/>
      <c r="I131" s="313"/>
      <c r="J131" s="314"/>
      <c r="K131" s="315" t="s">
        <v>147</v>
      </c>
      <c r="L131" s="316">
        <f>L135*2</f>
        <v>4</v>
      </c>
      <c r="M131" s="317" t="s">
        <v>148</v>
      </c>
      <c r="N131" s="318"/>
      <c r="O131" s="319"/>
      <c r="P131" s="319"/>
      <c r="Q131" s="319"/>
    </row>
    <row r="132" spans="1:17" ht="17.100000000000001" customHeight="1" x14ac:dyDescent="0.25">
      <c r="A132" s="307"/>
      <c r="B132" s="307"/>
      <c r="C132" s="307"/>
      <c r="D132" s="307"/>
      <c r="E132" s="307"/>
      <c r="F132" s="307"/>
      <c r="G132" s="269"/>
      <c r="H132" s="307"/>
      <c r="I132" s="320" t="s">
        <v>149</v>
      </c>
      <c r="J132" s="321">
        <v>2.5</v>
      </c>
      <c r="K132" s="321">
        <v>3</v>
      </c>
      <c r="L132" s="322">
        <v>1.5</v>
      </c>
      <c r="M132" s="323" t="s">
        <v>150</v>
      </c>
      <c r="N132" s="318"/>
      <c r="O132" s="319"/>
      <c r="P132" s="319"/>
      <c r="Q132" s="319"/>
    </row>
    <row r="133" spans="1:17" ht="17.100000000000001" customHeight="1" x14ac:dyDescent="0.25">
      <c r="A133" s="307"/>
      <c r="B133" s="324" t="s">
        <v>151</v>
      </c>
      <c r="C133" s="325"/>
      <c r="D133" s="307"/>
      <c r="E133" s="307"/>
      <c r="F133" s="307"/>
      <c r="G133" s="269"/>
      <c r="H133" s="307"/>
      <c r="I133" s="326"/>
      <c r="J133" s="327"/>
      <c r="K133" s="327"/>
      <c r="L133" s="327"/>
      <c r="M133" s="269"/>
      <c r="N133" s="269"/>
      <c r="O133" s="269"/>
      <c r="P133" s="269"/>
      <c r="Q133" s="269"/>
    </row>
    <row r="134" spans="1:17" ht="17.100000000000001" customHeight="1" x14ac:dyDescent="0.3">
      <c r="A134" s="307"/>
      <c r="B134" s="271"/>
      <c r="C134" s="272"/>
      <c r="D134" s="291" t="s">
        <v>152</v>
      </c>
      <c r="E134" s="328">
        <v>0.25</v>
      </c>
      <c r="F134" s="329"/>
      <c r="G134" s="330"/>
      <c r="H134" s="307"/>
      <c r="I134" s="324" t="s">
        <v>153</v>
      </c>
      <c r="K134" s="307"/>
      <c r="L134" s="307"/>
      <c r="M134" s="307"/>
      <c r="N134" s="269"/>
      <c r="O134" s="269"/>
      <c r="P134" s="269"/>
      <c r="Q134" s="269"/>
    </row>
    <row r="135" spans="1:17" ht="17.100000000000001" customHeight="1" x14ac:dyDescent="0.3">
      <c r="A135" s="307"/>
      <c r="B135" s="278"/>
      <c r="C135" s="279"/>
      <c r="D135" s="294" t="s">
        <v>154</v>
      </c>
      <c r="E135" s="331">
        <f>E128-(3*E136)</f>
        <v>6</v>
      </c>
      <c r="F135" s="332" t="s">
        <v>136</v>
      </c>
      <c r="G135" s="333"/>
      <c r="H135" s="307"/>
      <c r="I135" s="313"/>
      <c r="J135" s="314"/>
      <c r="K135" s="315" t="s">
        <v>147</v>
      </c>
      <c r="L135" s="316">
        <v>2</v>
      </c>
      <c r="M135" s="317" t="s">
        <v>148</v>
      </c>
      <c r="N135" s="334"/>
      <c r="O135" s="269"/>
      <c r="P135" s="269"/>
      <c r="Q135" s="269"/>
    </row>
    <row r="136" spans="1:17" ht="17.100000000000001" customHeight="1" x14ac:dyDescent="0.25">
      <c r="A136" s="307"/>
      <c r="B136" s="278"/>
      <c r="C136" s="279"/>
      <c r="D136" s="294" t="s">
        <v>155</v>
      </c>
      <c r="E136" s="281">
        <v>0.1</v>
      </c>
      <c r="F136" s="335" t="s">
        <v>136</v>
      </c>
      <c r="G136" s="333"/>
      <c r="H136" s="336"/>
      <c r="I136" s="320" t="s">
        <v>149</v>
      </c>
      <c r="J136" s="321">
        <v>10</v>
      </c>
      <c r="K136" s="321">
        <v>6</v>
      </c>
      <c r="L136" s="322">
        <v>0.5</v>
      </c>
      <c r="M136" s="323" t="s">
        <v>156</v>
      </c>
      <c r="N136" s="269"/>
      <c r="O136" s="269"/>
      <c r="P136" s="307"/>
      <c r="Q136" s="307"/>
    </row>
    <row r="137" spans="1:17" ht="17.100000000000001" customHeight="1" x14ac:dyDescent="0.25">
      <c r="A137" s="307"/>
      <c r="B137" s="284"/>
      <c r="C137" s="285"/>
      <c r="D137" s="310" t="s">
        <v>157</v>
      </c>
      <c r="E137" s="287">
        <v>1</v>
      </c>
      <c r="F137" s="337" t="s">
        <v>158</v>
      </c>
      <c r="G137" s="338"/>
      <c r="H137" s="307"/>
      <c r="I137" s="339"/>
      <c r="J137" s="340"/>
      <c r="K137" s="340"/>
      <c r="L137" s="341"/>
      <c r="M137" s="342"/>
      <c r="N137" s="269"/>
      <c r="O137" s="269"/>
      <c r="P137" s="307"/>
      <c r="Q137" s="307"/>
    </row>
    <row r="138" spans="1:17" ht="17.100000000000001" customHeight="1" x14ac:dyDescent="0.25">
      <c r="A138" s="307"/>
      <c r="B138" s="307"/>
      <c r="C138" s="307"/>
      <c r="D138" s="307"/>
      <c r="E138" s="307"/>
      <c r="F138" s="307"/>
      <c r="G138" s="343"/>
      <c r="H138" s="307"/>
      <c r="I138" s="307"/>
      <c r="J138" s="307"/>
      <c r="K138" s="269"/>
      <c r="L138" s="269"/>
      <c r="M138" s="269"/>
      <c r="N138" s="269"/>
      <c r="O138" s="269"/>
      <c r="P138" s="269"/>
      <c r="Q138" s="269"/>
    </row>
    <row r="139" spans="1:17" ht="17.100000000000001" customHeight="1" x14ac:dyDescent="0.25">
      <c r="A139" s="307"/>
      <c r="B139" s="324" t="s">
        <v>159</v>
      </c>
      <c r="C139" s="307"/>
      <c r="D139" s="307"/>
      <c r="E139" s="307"/>
      <c r="F139" s="307"/>
      <c r="G139" s="344"/>
      <c r="H139" s="307"/>
      <c r="I139" s="307"/>
      <c r="J139" s="307"/>
      <c r="K139" s="269"/>
      <c r="L139" s="269"/>
      <c r="M139" s="269"/>
      <c r="N139" s="269"/>
      <c r="O139" s="269"/>
      <c r="P139" s="1517"/>
      <c r="Q139" s="1517"/>
    </row>
    <row r="140" spans="1:17" ht="17.100000000000001" customHeight="1" x14ac:dyDescent="0.25">
      <c r="A140" s="307"/>
      <c r="B140" s="313"/>
      <c r="C140" s="314"/>
      <c r="D140" s="315" t="s">
        <v>160</v>
      </c>
      <c r="E140" s="316">
        <v>200</v>
      </c>
      <c r="F140" s="317" t="s">
        <v>161</v>
      </c>
      <c r="G140" s="343"/>
      <c r="H140" s="307"/>
      <c r="I140" s="307"/>
      <c r="J140"/>
      <c r="K140"/>
      <c r="L140"/>
      <c r="M140" s="269"/>
      <c r="N140" s="269"/>
      <c r="O140" s="269"/>
      <c r="P140" s="269"/>
      <c r="Q140" s="269"/>
    </row>
    <row r="141" spans="1:17" ht="17.100000000000001" customHeight="1" x14ac:dyDescent="0.25">
      <c r="A141" s="307"/>
      <c r="B141" s="307"/>
      <c r="C141" s="307"/>
      <c r="D141" s="307"/>
      <c r="E141" s="307"/>
      <c r="F141" s="307"/>
      <c r="G141" s="345"/>
      <c r="I141" s="307"/>
      <c r="J141"/>
      <c r="K141"/>
      <c r="L141"/>
      <c r="M141" s="269"/>
      <c r="N141" s="269"/>
      <c r="O141" s="269"/>
      <c r="P141" s="269"/>
      <c r="Q141" s="269"/>
    </row>
    <row r="142" spans="1:17" ht="17.100000000000001" customHeight="1" x14ac:dyDescent="0.25">
      <c r="A142" s="307"/>
      <c r="B142" s="307"/>
      <c r="C142" s="307"/>
      <c r="D142" s="307"/>
      <c r="E142" s="307"/>
      <c r="F142" s="307"/>
      <c r="G142" s="307"/>
      <c r="H142" s="269"/>
      <c r="J142" s="327"/>
      <c r="K142" s="269"/>
      <c r="L142" s="346"/>
      <c r="M142" s="347"/>
      <c r="N142" s="269"/>
      <c r="O142" s="269"/>
      <c r="P142" s="269"/>
      <c r="Q142" s="269"/>
    </row>
    <row r="143" spans="1:17" ht="17.100000000000001" customHeight="1" x14ac:dyDescent="0.25">
      <c r="A143" s="307"/>
      <c r="B143" s="307"/>
      <c r="C143" s="307"/>
      <c r="D143" s="307"/>
      <c r="E143" s="307"/>
      <c r="F143" s="307"/>
      <c r="G143" s="307"/>
      <c r="H143" s="269"/>
      <c r="I143" s="326"/>
      <c r="J143" s="307"/>
      <c r="K143" s="120"/>
      <c r="L143" s="269"/>
      <c r="M143" s="348"/>
      <c r="N143" s="269"/>
      <c r="O143" s="269"/>
      <c r="P143" s="269"/>
      <c r="Q143" s="269"/>
    </row>
    <row r="144" spans="1:17" ht="17.100000000000001" customHeight="1" x14ac:dyDescent="0.25">
      <c r="B144" s="307"/>
      <c r="C144" s="307"/>
      <c r="D144" s="307"/>
      <c r="E144" s="307"/>
      <c r="F144" s="307"/>
      <c r="G144" s="307"/>
      <c r="H144" s="269"/>
      <c r="I144" s="307"/>
      <c r="J144" s="307"/>
      <c r="K144" s="123"/>
      <c r="L144" s="269"/>
      <c r="M144" s="269"/>
      <c r="N144" s="269"/>
      <c r="O144" s="269"/>
      <c r="P144" s="269"/>
      <c r="Q144" s="269"/>
    </row>
    <row r="145" spans="8:17" ht="17.100000000000001" customHeight="1" x14ac:dyDescent="0.25"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</row>
  </sheetData>
  <sheetProtection selectLockedCells="1" selectUnlockedCells="1"/>
  <mergeCells count="27">
    <mergeCell ref="A116:G117"/>
    <mergeCell ref="B130:D130"/>
    <mergeCell ref="P139:Q139"/>
    <mergeCell ref="B33:D33"/>
    <mergeCell ref="K33:K34"/>
    <mergeCell ref="L33:L34"/>
    <mergeCell ref="M33:M34"/>
    <mergeCell ref="N33:O33"/>
    <mergeCell ref="A114:G115"/>
    <mergeCell ref="A31:A34"/>
    <mergeCell ref="E31:F33"/>
    <mergeCell ref="G31:G34"/>
    <mergeCell ref="H31:J33"/>
    <mergeCell ref="K31:Q31"/>
    <mergeCell ref="B32:D32"/>
    <mergeCell ref="K32:M32"/>
    <mergeCell ref="N32:O32"/>
    <mergeCell ref="P32:P34"/>
    <mergeCell ref="Q32:Q34"/>
    <mergeCell ref="A26:Q26"/>
    <mergeCell ref="A27:B27"/>
    <mergeCell ref="C27:G27"/>
    <mergeCell ref="H27:I27"/>
    <mergeCell ref="J27:N27"/>
    <mergeCell ref="D29:L30"/>
    <mergeCell ref="M29:M30"/>
    <mergeCell ref="N29:N30"/>
  </mergeCells>
  <dataValidations count="18">
    <dataValidation type="list" allowBlank="1" showInputMessage="1" showErrorMessage="1" prompt="Informar o Datum utilizado como origem para as coordenadas" sqref="B32:D32" xr:uid="{00000000-0002-0000-0100-000000000000}">
      <formula1>$K$2:$K$4</formula1>
      <formula2>0</formula2>
    </dataValidation>
    <dataValidation type="decimal" allowBlank="1" showInputMessage="1" showErrorMessage="1" prompt="Desmatamento, destocamento e limpeza em áreas com árvores d ≤ 0,15 m (no máximo 6,00 m para cada lado, considerando como já abertos, no mínimo, l = 3,00 m)" sqref="E122:E123" xr:uid="{00000000-0002-0000-0100-000001000000}">
      <formula1>0</formula1>
      <formula2>12</formula2>
    </dataValidation>
    <dataValidation type="decimal" allowBlank="1" showInputMessage="1" showErrorMessage="1" prompt="Desmatamento, destocamento e limpeza em áreas com árvores d &gt; 0,15 m (no máximo 6,00 m para cada lado, considerando como já abertos, no mínimo, l = 3,00 m)" sqref="E124" xr:uid="{00000000-0002-0000-0100-000002000000}">
      <formula1>0</formula1>
      <formula2>12</formula2>
    </dataValidation>
    <dataValidation type="decimal" allowBlank="1" showInputMessage="1" showErrorMessage="1" prompt="Volume máximo igual a 1,00 m³ / m" sqref="E127" xr:uid="{00000000-0002-0000-0100-000003000000}">
      <formula1>0.6</formula1>
      <formula2>1</formula2>
    </dataValidation>
    <dataValidation type="decimal" allowBlank="1" showInputMessage="1" showErrorMessage="1" prompt="Largura variando entre 4,00 a 7,00 m, mantendo o abaulamento transversal entre 3,00 a 7,00 %._x000a_" sqref="E128" xr:uid="{00000000-0002-0000-0100-000004000000}">
      <formula1>4</formula1>
      <formula2>7</formula2>
    </dataValidation>
    <dataValidation type="decimal" allowBlank="1" showInputMessage="1" showErrorMessage="1" prompt="Seção trapezoidal com altura máxima igual a 0,13873284 m" sqref="E129" xr:uid="{00000000-0002-0000-0100-000005000000}">
      <formula1>0</formula1>
      <formula2>0.13873284</formula2>
    </dataValidation>
    <dataValidation type="list" allowBlank="1" showErrorMessage="1" sqref="E131" xr:uid="{00000000-0002-0000-0100-000006000000}">
      <formula1>$F$1:$F$4</formula1>
      <formula2>0</formula2>
    </dataValidation>
    <dataValidation allowBlank="1" showInputMessage="1" showErrorMessage="1" prompt="Igual à largura da plataforma final da terraplenagem, menos três vezes a altura máxima do revestimento." sqref="E135" xr:uid="{00000000-0002-0000-0100-000007000000}">
      <formula1>0</formula1>
      <formula2>0</formula2>
    </dataValidation>
    <dataValidation type="decimal" operator="greaterThanOrEqual" allowBlank="1" showInputMessage="1" showErrorMessage="1" prompt="Espessura minima de 0,10 m, compactado." sqref="E136" xr:uid="{00000000-0002-0000-0100-000008000000}">
      <formula1>0.1</formula1>
      <formula2>0</formula2>
    </dataValidation>
    <dataValidation type="decimal" allowBlank="1" showInputMessage="1" showErrorMessage="1" prompt="Comprimento mínimo de 20 % do trecho a ser revestido" sqref="E137" xr:uid="{00000000-0002-0000-0100-000009000000}">
      <formula1>0.2</formula1>
      <formula2>1</formula2>
    </dataValidation>
    <dataValidation allowBlank="1" showInputMessage="1" showErrorMessage="1" prompt="Em aclives / declives adotar espaçamento mínimo de 50,00 m e em trechos planos mínimo de 100,00 m. Adotar comprimento do bigode = 5,00 m." sqref="E140" xr:uid="{00000000-0002-0000-0100-00000A000000}">
      <formula1>0</formula1>
      <formula2>0</formula2>
    </dataValidation>
    <dataValidation type="list" allowBlank="1" showInputMessage="1" showErrorMessage="1" errorTitle="Erro." error="Opção inválida!" promptTitle="OAC / OAE:" prompt="Selecione o tipo de obra de arte" sqref="H35" xr:uid="{00000000-0002-0000-0100-00000B000000}">
      <formula1>$H$2:$H$24</formula1>
      <formula2>0</formula2>
    </dataValidation>
    <dataValidation type="list" allowBlank="1" showInputMessage="1" showErrorMessage="1" errorTitle="Erro." error="Opção inválida!" promptTitle="OAC / OAE:" prompt="Selecione o tipo de obra de arte" sqref="H36 H37:J38 H39 J39 H40:J40 H41 J41 H42:J45 H46:H106" xr:uid="{00000000-0002-0000-0100-00000C000000}">
      <formula1>$H$2:$H$23</formula1>
      <formula2>0</formula2>
    </dataValidation>
    <dataValidation allowBlank="1" showInputMessage="1" showErrorMessage="1" prompt="Serão executadas nas dimensões médias de (3,50 x 2,50 x 1,50) m, com remoção média de 13,125 m3 de solo. A distância entre elas será de acordo com o trecho e sua profundidade deve ser abaixo do nível da estrada (média de 6,00 caixas / km)." sqref="L131" xr:uid="{00000000-0002-0000-0100-00000D000000}">
      <formula1>0</formula1>
      <formula2>0</formula2>
    </dataValidation>
    <dataValidation allowBlank="1" showInputMessage="1" showErrorMessage="1" prompt="As lombadas serão executadas com dimensões médias de 10,00 m de comprimento e 6,00 m de largura, com 0,50 m de altura após compactação. O espaçamento será variável e conforme os trechos (média de 3,00 lombadas / km)." sqref="L135" xr:uid="{00000000-0002-0000-0100-00000E000000}">
      <formula1>0</formula1>
      <formula2>0</formula2>
    </dataValidation>
    <dataValidation type="list" allowBlank="1" showInputMessage="1" showErrorMessage="1" errorTitle="Erro" error="O valor digitado não é válido" promptTitle="Terraplenagem" prompt="Selecione a DMT e a categoria do material escavado" sqref="M35" xr:uid="{00000000-0002-0000-0100-00000F000000}">
      <formula1>$A$2:$A$19</formula1>
      <formula2>0</formula2>
    </dataValidation>
    <dataValidation type="list" allowBlank="1" showInputMessage="1" showErrorMessage="1" errorTitle="Erro" error="O valor digitado não é válido" promptTitle="Terraplenagem" prompt="Selecione a DMT e a categoria do material escavado" sqref="M36:M106" xr:uid="{00000000-0002-0000-0100-000010000000}">
      <formula1>$A$2:$A$13</formula1>
      <formula2>0</formula2>
    </dataValidation>
    <dataValidation type="list" allowBlank="1" showInputMessage="1" showErrorMessage="1" prompt="Seção cheia - para regiões predominantemente planas;  Seção triangular - para regiões de relevo predominantemente acidentado" sqref="N32:O32" xr:uid="{00000000-0002-0000-0100-000011000000}">
      <formula1>$O$2:$O$3</formula1>
      <formula2>0</formula2>
    </dataValidation>
  </dataValidations>
  <printOptions horizontalCentered="1" verticalCentered="1"/>
  <pageMargins left="0.39374999999999999" right="0.39374999999999999" top="0.47222222222222221" bottom="0.47222222222222221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65536"/>
  <sheetViews>
    <sheetView view="pageBreakPreview" topLeftCell="A28" zoomScale="80" zoomScaleNormal="80" zoomScaleSheetLayoutView="8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'5.5'!A3:K3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'5.5'!A4:K4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190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179" t="str">
        <f>'[1]Planilha orçamentária'!E9</f>
        <v>Construção / Recuperação e complementação de estradas vicinais</v>
      </c>
      <c r="F10" s="1180"/>
      <c r="G10" s="1180"/>
      <c r="H10" s="1180"/>
      <c r="I10" s="1180"/>
      <c r="J10" s="1180"/>
      <c r="K10" s="1180"/>
      <c r="L10" s="1181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270" t="s">
        <v>190</v>
      </c>
      <c r="E16" s="1721" t="s">
        <v>566</v>
      </c>
      <c r="F16" s="1721"/>
      <c r="G16" s="1721"/>
      <c r="H16" s="1721"/>
      <c r="I16" s="1721"/>
      <c r="J16" s="1721"/>
      <c r="K16" s="1189" t="s">
        <v>417</v>
      </c>
      <c r="L16" s="1190" t="s">
        <v>551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24.9" customHeight="1" x14ac:dyDescent="0.25">
      <c r="A20" s="1195" t="str">
        <f>'[1]Composições - Equipamentos'!A35</f>
        <v>DNIT –</v>
      </c>
      <c r="B20" s="1196" t="str">
        <f>'[1]Composições - Equipamentos'!B35</f>
        <v>E9540</v>
      </c>
      <c r="C20" s="1197" t="s">
        <v>434</v>
      </c>
      <c r="D20" s="1719" t="str">
        <f>'[1]Composições - Equipamentos'!C35</f>
        <v>Trator de esteiras com lâmina - 112 kW (D6N - Caterpillar)</v>
      </c>
      <c r="E20" s="1719"/>
      <c r="F20" s="1719"/>
      <c r="G20" s="1199">
        <v>1</v>
      </c>
      <c r="H20" s="1200">
        <v>1</v>
      </c>
      <c r="I20" s="1201">
        <v>0</v>
      </c>
      <c r="J20" s="1299">
        <f>'[1]Composições - Equipamentos'!S35</f>
        <v>199.35740000000001</v>
      </c>
      <c r="K20" s="1299">
        <f>'[1]Composições - Equipamentos'!T35</f>
        <v>80.469300000000004</v>
      </c>
      <c r="L20" s="1289">
        <f t="shared" ref="L20:L21" si="0">(G20*H20*J20)+(G20*I20*K20)</f>
        <v>199.35740000000001</v>
      </c>
    </row>
    <row r="21" spans="1:14" s="1271" customFormat="1" ht="14.1" customHeight="1" x14ac:dyDescent="0.25">
      <c r="A21" s="1203"/>
      <c r="B21" s="1204"/>
      <c r="C21" s="1197"/>
      <c r="D21" s="1204"/>
      <c r="E21" s="1204"/>
      <c r="F21" s="1204"/>
      <c r="G21" s="1199"/>
      <c r="H21" s="1200"/>
      <c r="I21" s="1201"/>
      <c r="J21" s="1299"/>
      <c r="K21" s="1300"/>
      <c r="L21" s="1289">
        <f t="shared" si="0"/>
        <v>0</v>
      </c>
    </row>
    <row r="22" spans="1:14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200"/>
      <c r="I22" s="1201"/>
      <c r="J22" s="1301"/>
      <c r="K22" s="1300"/>
      <c r="L22" s="1289"/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199.35740000000001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195" t="str">
        <f>'[1]Atualização de custos unitarios'!A84</f>
        <v>DNIT –</v>
      </c>
      <c r="B27" s="1212" t="str">
        <f>'[1]Atualização de custos unitarios'!B84</f>
        <v>P9824</v>
      </c>
      <c r="C27" s="1197" t="s">
        <v>434</v>
      </c>
      <c r="D27" s="1699" t="str">
        <f>'[1]Atualização de custos unitarios'!C84</f>
        <v>Servente</v>
      </c>
      <c r="E27" s="1699"/>
      <c r="F27" s="1699"/>
      <c r="G27" s="1699"/>
      <c r="H27" s="1699"/>
      <c r="I27" s="1699"/>
      <c r="J27" s="1213">
        <v>2</v>
      </c>
      <c r="K27" s="1302">
        <f>'1.1'!G100</f>
        <v>14.981199999999999</v>
      </c>
      <c r="L27" s="1215">
        <f t="shared" ref="L27:L29" si="1">J27*K27</f>
        <v>29.962399999999999</v>
      </c>
      <c r="N27" s="1274"/>
    </row>
    <row r="28" spans="1:14" s="1271" customFormat="1" ht="9.4499999999999993" customHeight="1" x14ac:dyDescent="0.25">
      <c r="A28" s="1203"/>
      <c r="B28" s="1204"/>
      <c r="C28" s="1197"/>
      <c r="D28" s="1204"/>
      <c r="E28" s="1204"/>
      <c r="F28" s="1204"/>
      <c r="G28" s="710"/>
      <c r="H28" s="1197"/>
      <c r="I28" s="1275"/>
      <c r="J28" s="1213"/>
      <c r="K28" s="1302"/>
      <c r="L28" s="1215">
        <f t="shared" si="1"/>
        <v>0</v>
      </c>
    </row>
    <row r="29" spans="1:14" s="1271" customFormat="1" ht="14.1" customHeight="1" x14ac:dyDescent="0.25">
      <c r="A29" s="1216"/>
      <c r="B29" s="1217"/>
      <c r="C29" s="1217"/>
      <c r="D29" s="1217"/>
      <c r="E29" s="1217"/>
      <c r="F29" s="1217"/>
      <c r="G29" s="1173"/>
      <c r="H29" s="1193"/>
      <c r="I29" s="1218"/>
      <c r="J29" s="1219"/>
      <c r="K29" s="1302"/>
      <c r="L29" s="1215">
        <f t="shared" si="1"/>
        <v>0</v>
      </c>
    </row>
    <row r="30" spans="1:14" s="1271" customFormat="1" ht="14.1" customHeight="1" x14ac:dyDescent="0.25">
      <c r="A30" s="1702" t="s">
        <v>478</v>
      </c>
      <c r="B30" s="1702"/>
      <c r="C30" s="1702"/>
      <c r="D30" s="1702"/>
      <c r="E30" s="1702"/>
      <c r="F30" s="1702"/>
      <c r="G30" s="1702"/>
      <c r="H30" s="1702"/>
      <c r="I30" s="1702"/>
      <c r="J30" s="1702"/>
      <c r="K30" s="1702"/>
      <c r="L30" s="1208">
        <f>ROUND(SUM(L27:L29),4)</f>
        <v>29.962399999999999</v>
      </c>
    </row>
    <row r="31" spans="1:14" s="1272" customFormat="1" ht="3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10"/>
      <c r="L31" s="1210"/>
    </row>
    <row r="32" spans="1:14" s="1272" customFormat="1" ht="14.1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20" t="s">
        <v>479</v>
      </c>
      <c r="L32" s="1221">
        <f>L23+L30</f>
        <v>229.31980000000001</v>
      </c>
    </row>
    <row r="33" spans="1:12" s="1272" customFormat="1" ht="14.1" customHeight="1" x14ac:dyDescent="0.25">
      <c r="A33" s="1222" t="s">
        <v>480</v>
      </c>
      <c r="B33" s="1209"/>
      <c r="C33" s="1209"/>
      <c r="D33" s="1209"/>
      <c r="E33" s="1209"/>
      <c r="F33" s="1223">
        <v>109.62</v>
      </c>
      <c r="G33" s="1276" t="str">
        <f>L16</f>
        <v>m³</v>
      </c>
      <c r="H33" s="1222"/>
      <c r="I33" s="1209"/>
      <c r="J33" s="1225"/>
      <c r="K33" s="1226" t="s">
        <v>481</v>
      </c>
      <c r="L33" s="1208">
        <f>ROUND(L32/F33,4)</f>
        <v>2.0920000000000001</v>
      </c>
    </row>
    <row r="34" spans="1:12" s="1272" customFormat="1" ht="14.1" customHeight="1" x14ac:dyDescent="0.25">
      <c r="A34" s="1222"/>
      <c r="B34" s="1209" t="s">
        <v>482</v>
      </c>
      <c r="C34" s="1209"/>
      <c r="D34" s="1209"/>
      <c r="E34" s="1209"/>
      <c r="F34" s="1223">
        <f>ROUND([1]FIC!$F$11*[1]FIC!$H$21*[1]FIC!$H$34*[1]FIC!$L$6,5)</f>
        <v>4.8980000000000003E-2</v>
      </c>
      <c r="G34" s="1224"/>
      <c r="H34" s="1222"/>
      <c r="I34" s="1209"/>
      <c r="J34" s="1225"/>
      <c r="K34" s="1220" t="s">
        <v>483</v>
      </c>
      <c r="L34" s="1208">
        <f>ROUND(L33*F34,4)</f>
        <v>0.10249999999999999</v>
      </c>
    </row>
    <row r="35" spans="1:12" s="1272" customFormat="1" ht="14.1" customHeight="1" x14ac:dyDescent="0.25">
      <c r="A35" s="1222"/>
      <c r="B35" s="1209" t="s">
        <v>484</v>
      </c>
      <c r="C35" s="1209"/>
      <c r="D35" s="1209"/>
      <c r="E35" s="1209"/>
      <c r="F35" s="1227"/>
      <c r="G35" s="1224"/>
      <c r="H35" s="1225"/>
      <c r="I35" s="1228"/>
      <c r="J35" s="1210"/>
      <c r="K35" s="1220" t="s">
        <v>485</v>
      </c>
      <c r="L35" s="1208">
        <f>L33*F35</f>
        <v>0</v>
      </c>
    </row>
    <row r="36" spans="1:12" s="1272" customFormat="1" ht="3" customHeight="1" x14ac:dyDescent="0.25">
      <c r="A36" s="1209"/>
      <c r="B36" s="1209"/>
      <c r="C36" s="1209"/>
      <c r="D36" s="1209"/>
      <c r="E36" s="1209"/>
      <c r="F36" s="1209"/>
      <c r="G36" s="1209"/>
      <c r="H36" s="1209"/>
      <c r="I36" s="1209"/>
      <c r="J36" s="1210"/>
      <c r="K36" s="1210"/>
      <c r="L36" s="1229"/>
    </row>
    <row r="37" spans="1:12" s="1271" customFormat="1" ht="14.1" customHeight="1" x14ac:dyDescent="0.25">
      <c r="A37" s="1696" t="s">
        <v>486</v>
      </c>
      <c r="B37" s="1696"/>
      <c r="C37" s="1696"/>
      <c r="D37" s="1696"/>
      <c r="E37" s="1696"/>
      <c r="F37" s="1696"/>
      <c r="G37" s="1696"/>
      <c r="H37" s="1696"/>
      <c r="I37" s="1704" t="s">
        <v>487</v>
      </c>
      <c r="J37" s="1704"/>
      <c r="K37" s="1704"/>
      <c r="L37" s="1230">
        <f>ROUND(SUM(L33:L36),4)</f>
        <v>2.1945000000000001</v>
      </c>
    </row>
    <row r="38" spans="1:12" s="1272" customFormat="1" ht="3" customHeight="1" x14ac:dyDescent="0.25">
      <c r="A38" s="710"/>
      <c r="B38" s="710"/>
      <c r="C38" s="710"/>
      <c r="D38" s="710"/>
      <c r="E38" s="710"/>
      <c r="F38" s="710"/>
      <c r="G38" s="1231"/>
      <c r="H38" s="1231"/>
      <c r="I38" s="1232"/>
      <c r="J38" s="1232"/>
      <c r="K38" s="1232"/>
      <c r="L38" s="710"/>
    </row>
    <row r="39" spans="1:12" s="1271" customFormat="1" ht="14.1" customHeight="1" x14ac:dyDescent="0.25">
      <c r="A39" s="1696" t="s">
        <v>488</v>
      </c>
      <c r="B39" s="1696"/>
      <c r="C39" s="1696"/>
      <c r="D39" s="1696"/>
      <c r="E39" s="1696"/>
      <c r="F39" s="1696"/>
      <c r="G39" s="1696"/>
      <c r="H39" s="1697" t="s">
        <v>164</v>
      </c>
      <c r="I39" s="1697"/>
      <c r="J39" s="1697" t="s">
        <v>163</v>
      </c>
      <c r="K39" s="1192" t="s">
        <v>489</v>
      </c>
      <c r="L39" s="1192" t="s">
        <v>472</v>
      </c>
    </row>
    <row r="40" spans="1:12" s="1271" customFormat="1" ht="14.1" customHeight="1" x14ac:dyDescent="0.25">
      <c r="A40" s="1696"/>
      <c r="B40" s="1696"/>
      <c r="C40" s="1696"/>
      <c r="D40" s="1696"/>
      <c r="E40" s="1696"/>
      <c r="F40" s="1696"/>
      <c r="G40" s="1696"/>
      <c r="H40" s="1697"/>
      <c r="I40" s="1697"/>
      <c r="J40" s="1697"/>
      <c r="K40" s="1233" t="s">
        <v>490</v>
      </c>
      <c r="L40" s="1194" t="s">
        <v>490</v>
      </c>
    </row>
    <row r="41" spans="1:12" s="1271" customFormat="1" ht="14.1" customHeight="1" x14ac:dyDescent="0.25">
      <c r="A41" s="1234"/>
      <c r="B41" s="1204"/>
      <c r="C41" s="1197"/>
      <c r="D41" s="1204"/>
      <c r="E41" s="1204"/>
      <c r="F41" s="1204"/>
      <c r="G41" s="1235"/>
      <c r="H41" s="1705"/>
      <c r="I41" s="1705"/>
      <c r="J41" s="1237"/>
      <c r="K41" s="1302"/>
      <c r="L41" s="1238">
        <f t="shared" ref="L41:L42" si="2">H41*K41</f>
        <v>0</v>
      </c>
    </row>
    <row r="42" spans="1:12" s="1271" customFormat="1" ht="14.1" customHeight="1" x14ac:dyDescent="0.25">
      <c r="A42" s="1239"/>
      <c r="B42" s="1197"/>
      <c r="C42" s="1197"/>
      <c r="D42" s="1217"/>
      <c r="E42" s="1217"/>
      <c r="F42" s="1217"/>
      <c r="G42" s="1240"/>
      <c r="H42" s="1706"/>
      <c r="I42" s="1706"/>
      <c r="J42" s="1237"/>
      <c r="K42" s="1302"/>
      <c r="L42" s="1206">
        <f t="shared" si="2"/>
        <v>0</v>
      </c>
    </row>
    <row r="43" spans="1:12" s="1271" customFormat="1" ht="14.1" customHeight="1" x14ac:dyDescent="0.25">
      <c r="A43" s="1707" t="s">
        <v>491</v>
      </c>
      <c r="B43" s="1707"/>
      <c r="C43" s="1707"/>
      <c r="D43" s="1707"/>
      <c r="E43" s="1707"/>
      <c r="F43" s="1707"/>
      <c r="G43" s="1707"/>
      <c r="H43" s="1707"/>
      <c r="I43" s="1707"/>
      <c r="J43" s="1707"/>
      <c r="K43" s="1707"/>
      <c r="L43" s="1230">
        <f>ROUND(SUM(L41:L42),4)</f>
        <v>0</v>
      </c>
    </row>
    <row r="44" spans="1:12" s="1272" customFormat="1" ht="3" customHeight="1" x14ac:dyDescent="0.25">
      <c r="A44" s="1241"/>
      <c r="B44" s="1241"/>
      <c r="C44" s="1241"/>
      <c r="D44" s="1241"/>
      <c r="E44" s="1241"/>
      <c r="F44" s="1241"/>
      <c r="G44" s="1241"/>
      <c r="H44" s="1241"/>
      <c r="I44" s="1241"/>
      <c r="J44" s="710"/>
      <c r="K44" s="1242"/>
      <c r="L44" s="1243"/>
    </row>
    <row r="45" spans="1:12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2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2" s="1271" customFormat="1" ht="14.1" customHeight="1" x14ac:dyDescent="0.25">
      <c r="A48" s="1709"/>
      <c r="B48" s="1710"/>
      <c r="C48" s="1711"/>
      <c r="D48" s="1712"/>
      <c r="E48" s="1712"/>
      <c r="F48" s="1713"/>
      <c r="G48" s="1714">
        <f>ROUND(H41/1000,5)</f>
        <v>0</v>
      </c>
      <c r="H48" s="1245" t="s">
        <v>497</v>
      </c>
      <c r="I48" s="1246"/>
      <c r="J48" s="1246"/>
      <c r="K48" s="1246"/>
      <c r="L48" s="1715">
        <f>G48*($I$47*I49+$J$47*J49+$K$47*K49)</f>
        <v>0</v>
      </c>
    </row>
    <row r="49" spans="1:12" s="1271" customFormat="1" ht="14.1" customHeight="1" x14ac:dyDescent="0.25">
      <c r="A49" s="1709"/>
      <c r="B49" s="1710"/>
      <c r="C49" s="1711"/>
      <c r="D49" s="1712"/>
      <c r="E49" s="1712"/>
      <c r="F49" s="1713"/>
      <c r="G49" s="1714"/>
      <c r="H49" s="1247" t="s">
        <v>498</v>
      </c>
      <c r="I49" s="1248"/>
      <c r="J49" s="1248"/>
      <c r="K49" s="1248"/>
      <c r="L49" s="1715"/>
    </row>
    <row r="50" spans="1:12" s="1271" customFormat="1" ht="6" customHeight="1" x14ac:dyDescent="0.25">
      <c r="A50" s="1195"/>
      <c r="B50" s="1284"/>
      <c r="C50" s="1197"/>
      <c r="D50" s="1285"/>
      <c r="E50" s="1285"/>
      <c r="F50" s="1286"/>
      <c r="G50" s="1199"/>
      <c r="H50" s="1287"/>
      <c r="I50" s="1288"/>
      <c r="J50" s="1201"/>
      <c r="K50" s="1200"/>
      <c r="L50" s="1289"/>
    </row>
    <row r="51" spans="1:12" s="1271" customFormat="1" ht="14.1" customHeight="1" x14ac:dyDescent="0.25">
      <c r="A51" s="1239"/>
      <c r="B51" s="1197"/>
      <c r="C51" s="1197"/>
      <c r="D51" s="1217"/>
      <c r="E51" s="1217"/>
      <c r="F51" s="1217"/>
      <c r="G51" s="1249"/>
      <c r="H51" s="1250"/>
      <c r="I51" s="1250"/>
      <c r="J51" s="1251"/>
      <c r="K51" s="1252"/>
      <c r="L51" s="1202">
        <f>G51*H51*K51</f>
        <v>0</v>
      </c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25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ROUND(L37+L43+L52,4)</f>
        <v>2.1945000000000001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0.56110000000000004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2.76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17" t="s">
        <v>567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708" t="s">
        <v>507</v>
      </c>
      <c r="D59" s="1708"/>
      <c r="E59" s="1708"/>
      <c r="F59" s="1708"/>
      <c r="G59" s="1708"/>
      <c r="H59" s="1708"/>
      <c r="I59" s="1708"/>
      <c r="J59" s="1708"/>
      <c r="K59" s="1708"/>
      <c r="L59" s="1708"/>
    </row>
    <row r="60" spans="1:12" s="1271" customFormat="1" ht="20.25" customHeight="1" x14ac:dyDescent="0.25">
      <c r="A60" s="1267"/>
      <c r="B60" s="1268"/>
      <c r="C60" s="1303"/>
      <c r="D60" s="1303"/>
      <c r="E60" s="1303"/>
      <c r="F60" s="1303"/>
      <c r="G60" s="1303"/>
      <c r="H60" s="1303"/>
      <c r="I60" s="1303"/>
      <c r="J60" s="1303"/>
      <c r="K60" s="1303"/>
      <c r="L60" s="1304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6">
    <mergeCell ref="C59:L59"/>
    <mergeCell ref="L45:L47"/>
    <mergeCell ref="A48:A49"/>
    <mergeCell ref="B48:B49"/>
    <mergeCell ref="C48:C49"/>
    <mergeCell ref="D48:E49"/>
    <mergeCell ref="F48:F49"/>
    <mergeCell ref="G48:G49"/>
    <mergeCell ref="L48:L49"/>
    <mergeCell ref="A52:K52"/>
    <mergeCell ref="A54:K54"/>
    <mergeCell ref="A55:J55"/>
    <mergeCell ref="A56:K56"/>
    <mergeCell ref="C58:L58"/>
    <mergeCell ref="H41:I41"/>
    <mergeCell ref="H42:I42"/>
    <mergeCell ref="A43:K43"/>
    <mergeCell ref="A45:F47"/>
    <mergeCell ref="G45:G47"/>
    <mergeCell ref="H45:K45"/>
    <mergeCell ref="A30:K30"/>
    <mergeCell ref="A37:H37"/>
    <mergeCell ref="I37:K37"/>
    <mergeCell ref="A39:G40"/>
    <mergeCell ref="H39:I40"/>
    <mergeCell ref="J39:J40"/>
    <mergeCell ref="D27:I27"/>
    <mergeCell ref="A8:L8"/>
    <mergeCell ref="A10:D10"/>
    <mergeCell ref="A13:L14"/>
    <mergeCell ref="E16:J16"/>
    <mergeCell ref="A18:F19"/>
    <mergeCell ref="G18:G19"/>
    <mergeCell ref="H18:I18"/>
    <mergeCell ref="J18:K18"/>
    <mergeCell ref="D20:F20"/>
    <mergeCell ref="A23:K23"/>
    <mergeCell ref="A25:I26"/>
    <mergeCell ref="J25:J26"/>
    <mergeCell ref="K25:K26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13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65536"/>
  <sheetViews>
    <sheetView view="pageBreakPreview" topLeftCell="A27" zoomScale="80" zoomScaleNormal="80" zoomScaleSheetLayoutView="8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2">
      <c r="A1" s="1724"/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</row>
    <row r="2" spans="1:12" ht="15" customHeight="1" x14ac:dyDescent="0.3">
      <c r="A2" s="1688" t="str">
        <f>'[1]Planilha orçamentária'!E4</f>
        <v>PROJETO BÁSICO DE ENGENHARIA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</row>
    <row r="3" spans="1:12" ht="15" customHeight="1" x14ac:dyDescent="0.2">
      <c r="A3" s="1689"/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689"/>
    </row>
    <row r="4" spans="1:12" ht="18" customHeight="1" x14ac:dyDescent="0.25">
      <c r="A4" s="1828" t="str">
        <f>'5.6'!A3:K3</f>
        <v>J J BORGES DE OLIVEIRA EIRELI</v>
      </c>
      <c r="B4" s="1828"/>
      <c r="C4" s="1828"/>
      <c r="D4" s="1828"/>
      <c r="E4" s="1828"/>
      <c r="F4" s="1828"/>
      <c r="G4" s="1828"/>
      <c r="H4" s="1828"/>
      <c r="I4" s="1828"/>
      <c r="J4" s="1828"/>
      <c r="K4" s="1828"/>
      <c r="L4" s="1170" t="s">
        <v>411</v>
      </c>
    </row>
    <row r="5" spans="1:12" ht="12" customHeight="1" x14ac:dyDescent="0.25">
      <c r="A5" s="1829" t="str">
        <f>'5.6'!A4:K4</f>
        <v>20.129.307/0001-02</v>
      </c>
      <c r="B5" s="1829"/>
      <c r="C5" s="1829"/>
      <c r="D5" s="1829"/>
      <c r="E5" s="1829"/>
      <c r="F5" s="1829"/>
      <c r="G5" s="1829"/>
      <c r="H5" s="1829"/>
      <c r="I5" s="1829"/>
      <c r="J5" s="1829"/>
      <c r="K5" s="1829"/>
      <c r="L5" s="1171"/>
    </row>
    <row r="6" spans="1:12" ht="12" customHeight="1" x14ac:dyDescent="0.2">
      <c r="A6" s="1690"/>
      <c r="B6" s="1690"/>
      <c r="C6" s="1690"/>
      <c r="D6" s="1690"/>
      <c r="E6" s="1690"/>
      <c r="F6" s="1690"/>
      <c r="G6" s="1690"/>
      <c r="H6" s="1690"/>
      <c r="I6" s="1690"/>
      <c r="J6" s="1690"/>
      <c r="K6" s="1690"/>
      <c r="L6" s="1691" t="s">
        <v>192</v>
      </c>
    </row>
    <row r="7" spans="1:12" ht="5.0999999999999996" customHeight="1" x14ac:dyDescent="0.2">
      <c r="A7" s="1172"/>
      <c r="B7" s="1173"/>
      <c r="C7" s="1174"/>
      <c r="D7" s="1175"/>
      <c r="E7" s="1176"/>
      <c r="F7" s="1174"/>
      <c r="G7" s="1174"/>
      <c r="H7" s="1174"/>
      <c r="I7" s="1174"/>
      <c r="J7" s="1174"/>
      <c r="K7" s="1177"/>
      <c r="L7" s="1691"/>
    </row>
    <row r="8" spans="1:12" ht="5.0999999999999996" customHeight="1" x14ac:dyDescent="0.2">
      <c r="A8" s="710"/>
      <c r="B8" s="710"/>
      <c r="C8" s="352"/>
      <c r="D8" s="353"/>
      <c r="E8" s="353"/>
      <c r="F8" s="709"/>
      <c r="G8" s="709"/>
      <c r="H8" s="709"/>
      <c r="I8" s="709"/>
      <c r="J8" s="709"/>
      <c r="K8" s="709"/>
      <c r="L8" s="1178"/>
    </row>
    <row r="9" spans="1:12" ht="12.75" customHeight="1" x14ac:dyDescent="0.2">
      <c r="A9" s="1692"/>
      <c r="B9" s="1692"/>
      <c r="C9" s="1692"/>
      <c r="D9" s="1692"/>
      <c r="E9" s="1692"/>
      <c r="F9" s="1692"/>
      <c r="G9" s="1692"/>
      <c r="H9" s="1692"/>
      <c r="I9" s="1692"/>
      <c r="J9" s="1692"/>
      <c r="K9" s="1692"/>
      <c r="L9" s="1692"/>
    </row>
    <row r="10" spans="1:12" ht="5.0999999999999996" customHeight="1" x14ac:dyDescent="0.2">
      <c r="A10" s="1278"/>
      <c r="B10" s="353"/>
      <c r="C10" s="352"/>
      <c r="D10" s="353"/>
      <c r="E10" s="352"/>
      <c r="F10" s="352"/>
      <c r="G10" s="352"/>
      <c r="H10" s="352"/>
      <c r="I10" s="352"/>
      <c r="J10" s="352"/>
      <c r="K10" s="352"/>
      <c r="L10" s="1279"/>
    </row>
    <row r="11" spans="1:12" ht="15" customHeight="1" x14ac:dyDescent="0.2">
      <c r="A11" s="1693" t="s">
        <v>413</v>
      </c>
      <c r="B11" s="1693"/>
      <c r="C11" s="1693"/>
      <c r="D11" s="1693"/>
      <c r="E11" s="1179" t="str">
        <f>'[1]Planilha orçamentária'!E9</f>
        <v>Construção / Recuperação e complementação de estradas vicinais</v>
      </c>
      <c r="F11" s="1180"/>
      <c r="G11" s="1180"/>
      <c r="H11" s="1180"/>
      <c r="I11" s="1180"/>
      <c r="J11" s="1180"/>
      <c r="K11" s="1180"/>
      <c r="L11" s="1181"/>
    </row>
    <row r="12" spans="1:12" ht="5.0999999999999996" customHeight="1" x14ac:dyDescent="0.2">
      <c r="A12" s="1182"/>
      <c r="B12" s="1175"/>
      <c r="C12" s="1183"/>
      <c r="D12" s="1175"/>
      <c r="E12" s="1175"/>
      <c r="F12" s="1174"/>
      <c r="G12" s="1174"/>
      <c r="H12" s="1174"/>
      <c r="I12" s="1174"/>
      <c r="J12" s="1174"/>
      <c r="K12" s="1174"/>
      <c r="L12" s="1184"/>
    </row>
    <row r="13" spans="1:12" ht="5.0999999999999996" customHeight="1" x14ac:dyDescent="0.2">
      <c r="A13" s="709"/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1178"/>
    </row>
    <row r="14" spans="1:12" ht="9.4499999999999993" customHeight="1" x14ac:dyDescent="0.2">
      <c r="A14" s="1694" t="s">
        <v>414</v>
      </c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15" customHeight="1" x14ac:dyDescent="0.2">
      <c r="A15" s="1694"/>
      <c r="B15" s="1694"/>
      <c r="C15" s="1694"/>
      <c r="D15" s="1694"/>
      <c r="E15" s="1694"/>
      <c r="F15" s="1694"/>
      <c r="G15" s="1694"/>
      <c r="H15" s="1694"/>
      <c r="I15" s="1694"/>
      <c r="J15" s="1694"/>
      <c r="K15" s="1694"/>
      <c r="L15" s="1694"/>
    </row>
    <row r="16" spans="1:12" ht="3" customHeight="1" x14ac:dyDescent="0.2">
      <c r="A16" s="1185"/>
      <c r="B16" s="1185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</row>
    <row r="17" spans="1:12" s="1271" customFormat="1" ht="24.9" customHeight="1" x14ac:dyDescent="0.25">
      <c r="A17" s="1186" t="s">
        <v>415</v>
      </c>
      <c r="B17" s="1187"/>
      <c r="C17" s="1187"/>
      <c r="D17" s="1270" t="s">
        <v>192</v>
      </c>
      <c r="E17" s="1695" t="s">
        <v>568</v>
      </c>
      <c r="F17" s="1695"/>
      <c r="G17" s="1695"/>
      <c r="H17" s="1695"/>
      <c r="I17" s="1695"/>
      <c r="J17" s="1695"/>
      <c r="K17" s="1189" t="s">
        <v>417</v>
      </c>
      <c r="L17" s="1305" t="s">
        <v>418</v>
      </c>
    </row>
    <row r="18" spans="1:12" s="1272" customFormat="1" ht="3" customHeight="1" x14ac:dyDescent="0.25">
      <c r="A18" s="710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</row>
    <row r="19" spans="1:12" s="1271" customFormat="1" ht="15.75" customHeight="1" x14ac:dyDescent="0.25">
      <c r="A19" s="1725" t="s">
        <v>426</v>
      </c>
      <c r="B19" s="1725"/>
      <c r="C19" s="1725"/>
      <c r="D19" s="1725"/>
      <c r="E19" s="1725"/>
      <c r="F19" s="1725"/>
      <c r="G19" s="1697" t="s">
        <v>164</v>
      </c>
      <c r="H19" s="1697" t="s">
        <v>284</v>
      </c>
      <c r="I19" s="1697"/>
      <c r="J19" s="1698" t="s">
        <v>471</v>
      </c>
      <c r="K19" s="1698"/>
      <c r="L19" s="1192" t="s">
        <v>472</v>
      </c>
    </row>
    <row r="20" spans="1:12" s="1271" customFormat="1" ht="14.1" customHeight="1" x14ac:dyDescent="0.25">
      <c r="A20" s="1725"/>
      <c r="B20" s="1725"/>
      <c r="C20" s="1725"/>
      <c r="D20" s="1725"/>
      <c r="E20" s="1725"/>
      <c r="F20" s="1725"/>
      <c r="G20" s="1697"/>
      <c r="H20" s="1191" t="s">
        <v>473</v>
      </c>
      <c r="I20" s="1193" t="s">
        <v>474</v>
      </c>
      <c r="J20" s="1191" t="s">
        <v>473</v>
      </c>
      <c r="K20" s="1193" t="s">
        <v>474</v>
      </c>
      <c r="L20" s="1194" t="s">
        <v>475</v>
      </c>
    </row>
    <row r="21" spans="1:12" s="1271" customFormat="1" ht="14.1" customHeight="1" x14ac:dyDescent="0.25">
      <c r="A21" s="1306"/>
      <c r="B21" s="1307"/>
      <c r="C21" s="1255"/>
      <c r="D21" s="1254"/>
      <c r="E21" s="1241"/>
      <c r="F21" s="1308"/>
      <c r="G21" s="1213"/>
      <c r="H21" s="1200"/>
      <c r="I21" s="1309"/>
      <c r="J21" s="1299"/>
      <c r="K21" s="1299"/>
      <c r="L21" s="1238">
        <f t="shared" ref="L21:L23" si="0">ROUND((G21*H21*J21)+(G21*I21*K21),4)</f>
        <v>0</v>
      </c>
    </row>
    <row r="22" spans="1:12" s="1271" customFormat="1" ht="14.1" customHeight="1" x14ac:dyDescent="0.25">
      <c r="A22" s="1195"/>
      <c r="B22" s="1196"/>
      <c r="C22" s="1197"/>
      <c r="D22" s="1204"/>
      <c r="E22" s="1204"/>
      <c r="F22" s="1198"/>
      <c r="G22" s="1213"/>
      <c r="H22" s="1200"/>
      <c r="I22" s="1309"/>
      <c r="J22" s="1299"/>
      <c r="K22" s="1300"/>
      <c r="L22" s="1202">
        <f t="shared" si="0"/>
        <v>0</v>
      </c>
    </row>
    <row r="23" spans="1:12" s="1271" customFormat="1" ht="14.1" customHeight="1" x14ac:dyDescent="0.25">
      <c r="A23" s="1216"/>
      <c r="B23" s="1217"/>
      <c r="C23" s="1193"/>
      <c r="D23" s="1217"/>
      <c r="E23" s="1217"/>
      <c r="F23" s="1310"/>
      <c r="G23" s="1219"/>
      <c r="H23" s="1200"/>
      <c r="I23" s="1309"/>
      <c r="J23" s="1301"/>
      <c r="K23" s="1300"/>
      <c r="L23" s="1202">
        <f t="shared" si="0"/>
        <v>0</v>
      </c>
    </row>
    <row r="24" spans="1:12" s="1271" customFormat="1" ht="14.1" customHeight="1" x14ac:dyDescent="0.25">
      <c r="A24" s="1702" t="s">
        <v>476</v>
      </c>
      <c r="B24" s="1702"/>
      <c r="C24" s="1702"/>
      <c r="D24" s="1702"/>
      <c r="E24" s="1702"/>
      <c r="F24" s="1702"/>
      <c r="G24" s="1702"/>
      <c r="H24" s="1702"/>
      <c r="I24" s="1702"/>
      <c r="J24" s="1702"/>
      <c r="K24" s="1702"/>
      <c r="L24" s="1208">
        <f>ROUND(SUM(L21:L23),4)</f>
        <v>0</v>
      </c>
    </row>
    <row r="25" spans="1:12" s="1271" customFormat="1" ht="3" customHeight="1" x14ac:dyDescent="0.25">
      <c r="A25" s="1209"/>
      <c r="B25" s="1209"/>
      <c r="C25" s="1209"/>
      <c r="D25" s="1209"/>
      <c r="E25" s="1209"/>
      <c r="F25" s="1209"/>
      <c r="G25" s="1209"/>
      <c r="H25" s="1210"/>
      <c r="I25" s="1210"/>
      <c r="J25" s="1210"/>
      <c r="K25" s="1210"/>
      <c r="L25" s="1210"/>
    </row>
    <row r="26" spans="1:12" s="1271" customFormat="1" ht="14.1" customHeight="1" x14ac:dyDescent="0.25">
      <c r="A26" s="1696" t="s">
        <v>439</v>
      </c>
      <c r="B26" s="1696"/>
      <c r="C26" s="1696"/>
      <c r="D26" s="1696"/>
      <c r="E26" s="1696"/>
      <c r="F26" s="1696"/>
      <c r="G26" s="1696"/>
      <c r="H26" s="1696"/>
      <c r="I26" s="1696"/>
      <c r="J26" s="1697" t="s">
        <v>164</v>
      </c>
      <c r="K26" s="1703" t="s">
        <v>477</v>
      </c>
      <c r="L26" s="1192" t="s">
        <v>441</v>
      </c>
    </row>
    <row r="27" spans="1:12" s="1271" customFormat="1" ht="14.1" customHeight="1" x14ac:dyDescent="0.25">
      <c r="A27" s="1696"/>
      <c r="B27" s="1696"/>
      <c r="C27" s="1696"/>
      <c r="D27" s="1696"/>
      <c r="E27" s="1696"/>
      <c r="F27" s="1696"/>
      <c r="G27" s="1696"/>
      <c r="H27" s="1696"/>
      <c r="I27" s="1696"/>
      <c r="J27" s="1697"/>
      <c r="K27" s="1703"/>
      <c r="L27" s="1194" t="s">
        <v>475</v>
      </c>
    </row>
    <row r="28" spans="1:12" s="1271" customFormat="1" ht="9.4499999999999993" customHeight="1" x14ac:dyDescent="0.25">
      <c r="A28" s="1195"/>
      <c r="B28" s="1196"/>
      <c r="C28" s="1197"/>
      <c r="D28" s="1204"/>
      <c r="E28" s="1204"/>
      <c r="F28" s="1204"/>
      <c r="G28" s="710"/>
      <c r="H28" s="1197"/>
      <c r="I28" s="1275"/>
      <c r="J28" s="1213"/>
      <c r="K28" s="1311"/>
      <c r="L28" s="1215">
        <f t="shared" ref="L28:L30" si="1">ROUND(J28*K28,4)</f>
        <v>0</v>
      </c>
    </row>
    <row r="29" spans="1:12" s="1271" customFormat="1" ht="14.1" customHeight="1" x14ac:dyDescent="0.25">
      <c r="A29" s="1195"/>
      <c r="B29" s="1196"/>
      <c r="C29" s="1197"/>
      <c r="D29" s="1204"/>
      <c r="E29" s="1204"/>
      <c r="F29" s="1204"/>
      <c r="G29" s="710"/>
      <c r="H29" s="1197"/>
      <c r="I29" s="1275"/>
      <c r="J29" s="1213"/>
      <c r="K29" s="1302"/>
      <c r="L29" s="1215">
        <f t="shared" si="1"/>
        <v>0</v>
      </c>
    </row>
    <row r="30" spans="1:12" s="1271" customFormat="1" ht="14.1" customHeight="1" x14ac:dyDescent="0.25">
      <c r="A30" s="1312"/>
      <c r="B30" s="1313"/>
      <c r="C30" s="1217"/>
      <c r="D30" s="1217"/>
      <c r="E30" s="1217"/>
      <c r="F30" s="1217"/>
      <c r="G30" s="1173"/>
      <c r="H30" s="1193"/>
      <c r="I30" s="1218"/>
      <c r="J30" s="1219"/>
      <c r="K30" s="1302"/>
      <c r="L30" s="1215">
        <f t="shared" si="1"/>
        <v>0</v>
      </c>
    </row>
    <row r="31" spans="1:12" s="1271" customFormat="1" ht="14.1" customHeight="1" x14ac:dyDescent="0.25">
      <c r="A31" s="1702" t="s">
        <v>478</v>
      </c>
      <c r="B31" s="1702"/>
      <c r="C31" s="1702"/>
      <c r="D31" s="1702"/>
      <c r="E31" s="1702"/>
      <c r="F31" s="1702"/>
      <c r="G31" s="1702"/>
      <c r="H31" s="1702"/>
      <c r="I31" s="1702"/>
      <c r="J31" s="1702"/>
      <c r="K31" s="1702"/>
      <c r="L31" s="1208">
        <f>ROUND(SUM(L28:L30),4)</f>
        <v>0</v>
      </c>
    </row>
    <row r="32" spans="1:12" s="1272" customFormat="1" ht="3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10"/>
      <c r="L32" s="1229"/>
    </row>
    <row r="33" spans="1:12" s="1272" customFormat="1" ht="14.1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20" t="s">
        <v>479</v>
      </c>
      <c r="L33" s="1221">
        <f>L24+L31</f>
        <v>0</v>
      </c>
    </row>
    <row r="34" spans="1:12" s="1272" customFormat="1" ht="14.1" customHeight="1" x14ac:dyDescent="0.25">
      <c r="A34" s="1222" t="s">
        <v>480</v>
      </c>
      <c r="B34" s="1209"/>
      <c r="C34" s="1209"/>
      <c r="D34" s="1209"/>
      <c r="E34" s="1209"/>
      <c r="F34" s="1314">
        <v>1</v>
      </c>
      <c r="G34" s="1276" t="str">
        <f>L17</f>
        <v xml:space="preserve">un </v>
      </c>
      <c r="H34" s="1222"/>
      <c r="I34" s="1209"/>
      <c r="J34" s="1225"/>
      <c r="K34" s="1226" t="s">
        <v>481</v>
      </c>
      <c r="L34" s="1208">
        <f>ROUND(L33/F34,4)</f>
        <v>0</v>
      </c>
    </row>
    <row r="35" spans="1:12" s="1272" customFormat="1" ht="14.1" customHeight="1" x14ac:dyDescent="0.25">
      <c r="A35" s="1222"/>
      <c r="B35" s="1209" t="s">
        <v>482</v>
      </c>
      <c r="C35" s="1209"/>
      <c r="D35" s="1209"/>
      <c r="E35" s="1209"/>
      <c r="F35" s="1223"/>
      <c r="G35" s="1224"/>
      <c r="H35" s="1222"/>
      <c r="I35" s="1209"/>
      <c r="J35" s="1225"/>
      <c r="K35" s="1220" t="s">
        <v>483</v>
      </c>
      <c r="L35" s="1208">
        <f>ROUND(L34*F35,4)</f>
        <v>0</v>
      </c>
    </row>
    <row r="36" spans="1:12" s="1272" customFormat="1" ht="14.1" customHeight="1" x14ac:dyDescent="0.25">
      <c r="A36" s="1222"/>
      <c r="B36" s="1209" t="s">
        <v>484</v>
      </c>
      <c r="C36" s="1209"/>
      <c r="D36" s="1209"/>
      <c r="E36" s="1209"/>
      <c r="F36" s="1227"/>
      <c r="G36" s="1224"/>
      <c r="H36" s="1225"/>
      <c r="I36" s="1228"/>
      <c r="J36" s="1210"/>
      <c r="K36" s="1220" t="s">
        <v>485</v>
      </c>
      <c r="L36" s="1208">
        <f>ROUND(L34*F36,4)</f>
        <v>0</v>
      </c>
    </row>
    <row r="37" spans="1:12" s="1272" customFormat="1" ht="3" customHeight="1" x14ac:dyDescent="0.25">
      <c r="A37" s="1209"/>
      <c r="B37" s="1209"/>
      <c r="C37" s="1209"/>
      <c r="D37" s="1209"/>
      <c r="E37" s="1209"/>
      <c r="F37" s="1209"/>
      <c r="G37" s="1209"/>
      <c r="H37" s="1209"/>
      <c r="I37" s="1209"/>
      <c r="J37" s="1210"/>
      <c r="K37" s="1210"/>
      <c r="L37" s="1229"/>
    </row>
    <row r="38" spans="1:12" s="1271" customFormat="1" ht="14.1" customHeight="1" x14ac:dyDescent="0.25">
      <c r="A38" s="1696" t="s">
        <v>486</v>
      </c>
      <c r="B38" s="1696"/>
      <c r="C38" s="1696"/>
      <c r="D38" s="1696"/>
      <c r="E38" s="1696"/>
      <c r="F38" s="1696"/>
      <c r="G38" s="1696"/>
      <c r="H38" s="1696"/>
      <c r="I38" s="1704" t="s">
        <v>487</v>
      </c>
      <c r="J38" s="1704"/>
      <c r="K38" s="1704"/>
      <c r="L38" s="1230">
        <f>ROUND(SUM(L34:L37),4)</f>
        <v>0</v>
      </c>
    </row>
    <row r="39" spans="1:12" s="1272" customFormat="1" ht="3" customHeight="1" x14ac:dyDescent="0.25">
      <c r="A39" s="710"/>
      <c r="B39" s="710"/>
      <c r="C39" s="710"/>
      <c r="D39" s="710"/>
      <c r="E39" s="710"/>
      <c r="F39" s="710"/>
      <c r="G39" s="1231"/>
      <c r="H39" s="1231"/>
      <c r="I39" s="1232"/>
      <c r="J39" s="1232"/>
      <c r="K39" s="1232"/>
      <c r="L39" s="710"/>
    </row>
    <row r="40" spans="1:12" s="1271" customFormat="1" ht="14.1" customHeight="1" x14ac:dyDescent="0.25">
      <c r="A40" s="1696" t="s">
        <v>488</v>
      </c>
      <c r="B40" s="1696"/>
      <c r="C40" s="1696"/>
      <c r="D40" s="1696"/>
      <c r="E40" s="1696"/>
      <c r="F40" s="1696"/>
      <c r="G40" s="1696"/>
      <c r="H40" s="1697" t="s">
        <v>164</v>
      </c>
      <c r="I40" s="1697"/>
      <c r="J40" s="1697" t="s">
        <v>163</v>
      </c>
      <c r="K40" s="1192" t="s">
        <v>489</v>
      </c>
      <c r="L40" s="1192" t="s">
        <v>472</v>
      </c>
    </row>
    <row r="41" spans="1:12" s="1271" customFormat="1" ht="14.1" customHeight="1" x14ac:dyDescent="0.25">
      <c r="A41" s="1696"/>
      <c r="B41" s="1696"/>
      <c r="C41" s="1696"/>
      <c r="D41" s="1696"/>
      <c r="E41" s="1696"/>
      <c r="F41" s="1696"/>
      <c r="G41" s="1696"/>
      <c r="H41" s="1697"/>
      <c r="I41" s="1697"/>
      <c r="J41" s="1697"/>
      <c r="K41" s="1233" t="s">
        <v>490</v>
      </c>
      <c r="L41" s="1194" t="s">
        <v>490</v>
      </c>
    </row>
    <row r="42" spans="1:12" s="1271" customFormat="1" ht="14.1" customHeight="1" x14ac:dyDescent="0.25">
      <c r="A42" s="1726" t="str">
        <f>CONCATENATE('[1]5.15-Esc.Mec.Vala'!L6," ",'[1]5.15-Esc.Mec.Vala'!L7)</f>
        <v>INCRA C 5.15</v>
      </c>
      <c r="B42" s="1726"/>
      <c r="C42" s="1315" t="s">
        <v>434</v>
      </c>
      <c r="D42" s="1316" t="str">
        <f>'[1]5.15-Esc.Mec.Vala'!E18</f>
        <v>Escavação mecânica de vala em material de 1ª categoria</v>
      </c>
      <c r="E42" s="1316"/>
      <c r="F42" s="1316"/>
      <c r="G42" s="1317"/>
      <c r="H42" s="1705">
        <f>(('[1]Nota de serviço'!K132+((3*'[1]Nota de serviço'!L132*2/2)+'[1]Nota de serviço'!K132))*'[1]Nota de serviço'!L132*'[1]Nota de serviço'!J132)/2</f>
        <v>19.6875</v>
      </c>
      <c r="I42" s="1705"/>
      <c r="J42" s="1200" t="str">
        <f>'[1]5.15-Esc.Mec.Vala'!L18</f>
        <v>m³</v>
      </c>
      <c r="K42" s="1302">
        <f>'[1]5.15-Esc.Mec.Vala'!L64</f>
        <v>6.4790999999999999</v>
      </c>
      <c r="L42" s="1238">
        <f t="shared" ref="L42:L44" si="2">ROUND(K42*H42,4)</f>
        <v>127.5573</v>
      </c>
    </row>
    <row r="43" spans="1:12" s="1271" customFormat="1" ht="14.1" customHeight="1" x14ac:dyDescent="0.25">
      <c r="A43" s="1318"/>
      <c r="B43" s="1319"/>
      <c r="C43" s="1201"/>
      <c r="D43" s="1316"/>
      <c r="E43" s="1316"/>
      <c r="F43" s="1316"/>
      <c r="G43" s="1317"/>
      <c r="H43" s="1727"/>
      <c r="I43" s="1727"/>
      <c r="J43" s="1200"/>
      <c r="K43" s="1302"/>
      <c r="L43" s="1202">
        <f t="shared" si="2"/>
        <v>0</v>
      </c>
    </row>
    <row r="44" spans="1:12" s="1271" customFormat="1" ht="14.1" customHeight="1" x14ac:dyDescent="0.25">
      <c r="A44" s="1320"/>
      <c r="B44" s="1316"/>
      <c r="C44" s="1201"/>
      <c r="D44" s="1321"/>
      <c r="E44" s="1321"/>
      <c r="F44" s="1321"/>
      <c r="G44" s="1322"/>
      <c r="H44" s="1706"/>
      <c r="I44" s="1706"/>
      <c r="J44" s="1200"/>
      <c r="K44" s="1302"/>
      <c r="L44" s="1202">
        <f t="shared" si="2"/>
        <v>0</v>
      </c>
    </row>
    <row r="45" spans="1:12" s="1271" customFormat="1" ht="9.4499999999999993" customHeight="1" x14ac:dyDescent="0.25">
      <c r="A45" s="1707" t="s">
        <v>491</v>
      </c>
      <c r="B45" s="1707"/>
      <c r="C45" s="1707"/>
      <c r="D45" s="1707"/>
      <c r="E45" s="1707"/>
      <c r="F45" s="1707"/>
      <c r="G45" s="1707"/>
      <c r="H45" s="1707"/>
      <c r="I45" s="1707"/>
      <c r="J45" s="1707"/>
      <c r="K45" s="1707"/>
      <c r="L45" s="1230">
        <f>ROUND(SUM(L42:L44),4)</f>
        <v>127.5573</v>
      </c>
    </row>
    <row r="46" spans="1:12" s="1272" customFormat="1" ht="3" customHeight="1" x14ac:dyDescent="0.25">
      <c r="A46" s="1241"/>
      <c r="B46" s="1241"/>
      <c r="C46" s="1241"/>
      <c r="D46" s="1241"/>
      <c r="E46" s="1241"/>
      <c r="F46" s="1241"/>
      <c r="G46" s="1241"/>
      <c r="H46" s="1241"/>
      <c r="I46" s="1241"/>
      <c r="J46" s="710"/>
      <c r="K46" s="1242"/>
      <c r="L46" s="1243"/>
    </row>
    <row r="47" spans="1:12" s="1271" customFormat="1" ht="14.1" customHeight="1" x14ac:dyDescent="0.25">
      <c r="A47" s="1696" t="s">
        <v>492</v>
      </c>
      <c r="B47" s="1696"/>
      <c r="C47" s="1696"/>
      <c r="D47" s="1696"/>
      <c r="E47" s="1696"/>
      <c r="F47" s="1696"/>
      <c r="G47" s="1703" t="s">
        <v>493</v>
      </c>
      <c r="H47" s="1697" t="s">
        <v>494</v>
      </c>
      <c r="I47" s="1697"/>
      <c r="J47" s="1697"/>
      <c r="K47" s="1697"/>
      <c r="L47" s="1697" t="s">
        <v>495</v>
      </c>
    </row>
    <row r="48" spans="1:12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211" t="s">
        <v>110</v>
      </c>
      <c r="I48" s="1218" t="s">
        <v>302</v>
      </c>
      <c r="J48" s="1194" t="s">
        <v>305</v>
      </c>
      <c r="K48" s="1233" t="s">
        <v>307</v>
      </c>
      <c r="L48" s="1697"/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191" t="s">
        <v>496</v>
      </c>
      <c r="I49" s="1244"/>
      <c r="J49" s="1244"/>
      <c r="K49" s="1244"/>
      <c r="L49" s="1697"/>
    </row>
    <row r="50" spans="1:12" s="1271" customFormat="1" ht="14.1" customHeight="1" x14ac:dyDescent="0.25">
      <c r="A50" s="1728"/>
      <c r="B50" s="1729"/>
      <c r="C50" s="1711" t="s">
        <v>434</v>
      </c>
      <c r="D50" s="1730"/>
      <c r="E50" s="1730"/>
      <c r="F50" s="1731"/>
      <c r="G50" s="1714"/>
      <c r="H50" s="1245" t="s">
        <v>497</v>
      </c>
      <c r="I50" s="1323"/>
      <c r="J50" s="1324"/>
      <c r="K50" s="1325"/>
      <c r="L50" s="1715">
        <f>ROUND(G50*($I$49*I51+$J$49*J51+$K$49*K51),4)</f>
        <v>0</v>
      </c>
    </row>
    <row r="51" spans="1:12" s="1271" customFormat="1" ht="14.1" customHeight="1" x14ac:dyDescent="0.25">
      <c r="A51" s="1728"/>
      <c r="B51" s="1729"/>
      <c r="C51" s="1711"/>
      <c r="D51" s="1730"/>
      <c r="E51" s="1730"/>
      <c r="F51" s="1731"/>
      <c r="G51" s="1714"/>
      <c r="H51" s="1247" t="s">
        <v>498</v>
      </c>
      <c r="I51" s="1326"/>
      <c r="J51" s="1327"/>
      <c r="K51" s="1328"/>
      <c r="L51" s="1715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ROUND(SUM(L50:L51),4)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25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ROUND(L38+L45+L52,4)</f>
        <v>127.5573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32.616399999999999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329">
        <f>ROUND(L54+L55,2)</f>
        <v>160.16999999999999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4.9" customHeight="1" x14ac:dyDescent="0.25">
      <c r="A58" s="1262" t="s">
        <v>451</v>
      </c>
      <c r="B58" s="1263"/>
      <c r="C58" s="1717" t="s">
        <v>569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708" t="s">
        <v>570</v>
      </c>
      <c r="D59" s="1708"/>
      <c r="E59" s="1708"/>
      <c r="F59" s="1708"/>
      <c r="G59" s="1708"/>
      <c r="H59" s="1708"/>
      <c r="I59" s="1708"/>
      <c r="J59" s="1708"/>
      <c r="K59" s="1708"/>
      <c r="L59" s="1708"/>
    </row>
    <row r="60" spans="1:12" ht="20.25" customHeight="1" x14ac:dyDescent="0.2">
      <c r="A60" s="1267"/>
      <c r="B60" s="1268"/>
      <c r="C60" s="1303"/>
      <c r="D60" s="1303"/>
      <c r="E60" s="1303"/>
      <c r="F60" s="1303"/>
      <c r="G60" s="1303"/>
      <c r="H60" s="1303"/>
      <c r="I60" s="1303"/>
      <c r="J60" s="1303"/>
      <c r="K60" s="1303"/>
      <c r="L60" s="1304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7">
    <mergeCell ref="C59:L59"/>
    <mergeCell ref="L50:L51"/>
    <mergeCell ref="A52:K52"/>
    <mergeCell ref="A54:K54"/>
    <mergeCell ref="A55:J55"/>
    <mergeCell ref="A56:K56"/>
    <mergeCell ref="C58:L58"/>
    <mergeCell ref="A50:A51"/>
    <mergeCell ref="B50:B51"/>
    <mergeCell ref="C50:C51"/>
    <mergeCell ref="D50:E51"/>
    <mergeCell ref="F50:F51"/>
    <mergeCell ref="G50:G51"/>
    <mergeCell ref="L47:L49"/>
    <mergeCell ref="A40:G41"/>
    <mergeCell ref="H40:I41"/>
    <mergeCell ref="J40:J41"/>
    <mergeCell ref="A42:B42"/>
    <mergeCell ref="H42:I42"/>
    <mergeCell ref="H43:I43"/>
    <mergeCell ref="H44:I44"/>
    <mergeCell ref="A45:K45"/>
    <mergeCell ref="A47:F49"/>
    <mergeCell ref="G47:G49"/>
    <mergeCell ref="H47:K47"/>
    <mergeCell ref="A38:H38"/>
    <mergeCell ref="I38:K38"/>
    <mergeCell ref="A9:L9"/>
    <mergeCell ref="A11:D11"/>
    <mergeCell ref="A14:L15"/>
    <mergeCell ref="E17:J17"/>
    <mergeCell ref="A19:F20"/>
    <mergeCell ref="G19:G20"/>
    <mergeCell ref="H19:I19"/>
    <mergeCell ref="J19:K19"/>
    <mergeCell ref="A24:K24"/>
    <mergeCell ref="A26:I27"/>
    <mergeCell ref="J26:J27"/>
    <mergeCell ref="K26:K27"/>
    <mergeCell ref="A31:K31"/>
    <mergeCell ref="A6:K6"/>
    <mergeCell ref="L6:L7"/>
    <mergeCell ref="A1:L1"/>
    <mergeCell ref="A2:L2"/>
    <mergeCell ref="A3:L3"/>
    <mergeCell ref="A4:K4"/>
    <mergeCell ref="A5:K5"/>
  </mergeCells>
  <dataValidations count="1">
    <dataValidation allowBlank="1" showInputMessage="1" showErrorMessage="1" prompt="Clique duas vezes sobre o número do item para ser direcionado à Planilha Orçamentária." sqref="D17" xr:uid="{00000000-0002-0000-14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65536"/>
  <sheetViews>
    <sheetView view="pageBreakPreview" topLeftCell="A28" zoomScale="90" zoomScaleNormal="80" zoomScaleSheetLayoutView="9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'5.7'!A4:K4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'5.7'!A5:K5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193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179" t="str">
        <f>'[1]Planilha orçamentária'!E9</f>
        <v>Construção / Recuperação e complementação de estradas vicinais</v>
      </c>
      <c r="F10" s="1180"/>
      <c r="G10" s="1180"/>
      <c r="H10" s="1180"/>
      <c r="I10" s="1180"/>
      <c r="J10" s="1180"/>
      <c r="K10" s="1180"/>
      <c r="L10" s="1181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270" t="s">
        <v>193</v>
      </c>
      <c r="E16" s="1695" t="s">
        <v>571</v>
      </c>
      <c r="F16" s="1695"/>
      <c r="G16" s="1695"/>
      <c r="H16" s="1695"/>
      <c r="I16" s="1695"/>
      <c r="J16" s="1695"/>
      <c r="K16" s="1189" t="s">
        <v>417</v>
      </c>
      <c r="L16" s="1305" t="s">
        <v>418</v>
      </c>
    </row>
    <row r="17" spans="1:12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2" s="1271" customFormat="1" ht="14.1" customHeight="1" x14ac:dyDescent="0.25">
      <c r="A18" s="1725" t="s">
        <v>426</v>
      </c>
      <c r="B18" s="1725"/>
      <c r="C18" s="1725"/>
      <c r="D18" s="1725"/>
      <c r="E18" s="1725"/>
      <c r="F18" s="1725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2" s="1271" customFormat="1" ht="15.75" customHeight="1" x14ac:dyDescent="0.25">
      <c r="A19" s="1725"/>
      <c r="B19" s="1725"/>
      <c r="C19" s="1725"/>
      <c r="D19" s="1725"/>
      <c r="E19" s="1725"/>
      <c r="F19" s="1725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2" s="1271" customFormat="1" ht="14.1" customHeight="1" x14ac:dyDescent="0.25">
      <c r="A20" s="1306"/>
      <c r="B20" s="1307"/>
      <c r="C20" s="1255"/>
      <c r="D20" s="1254"/>
      <c r="E20" s="1241"/>
      <c r="F20" s="1308"/>
      <c r="G20" s="1213"/>
      <c r="H20" s="1200"/>
      <c r="I20" s="1309"/>
      <c r="J20" s="1299"/>
      <c r="K20" s="1299"/>
      <c r="L20" s="1238">
        <f t="shared" ref="L20:L22" si="0">ROUND((G20*H20*J20)+(G20*I20*K20),4)</f>
        <v>0</v>
      </c>
    </row>
    <row r="21" spans="1:12" s="1271" customFormat="1" ht="14.1" customHeight="1" x14ac:dyDescent="0.25">
      <c r="A21" s="1195"/>
      <c r="B21" s="1196"/>
      <c r="C21" s="1197"/>
      <c r="D21" s="1204"/>
      <c r="E21" s="1204"/>
      <c r="F21" s="1198"/>
      <c r="G21" s="1213"/>
      <c r="H21" s="1200"/>
      <c r="I21" s="1309"/>
      <c r="J21" s="1299"/>
      <c r="K21" s="1300"/>
      <c r="L21" s="1202">
        <f t="shared" si="0"/>
        <v>0</v>
      </c>
    </row>
    <row r="22" spans="1:12" s="1271" customFormat="1" ht="14.1" customHeight="1" x14ac:dyDescent="0.25">
      <c r="A22" s="1216"/>
      <c r="B22" s="1217"/>
      <c r="C22" s="1193"/>
      <c r="D22" s="1217"/>
      <c r="E22" s="1217"/>
      <c r="F22" s="1310"/>
      <c r="G22" s="1219"/>
      <c r="H22" s="1200"/>
      <c r="I22" s="1309"/>
      <c r="J22" s="1301"/>
      <c r="K22" s="1300"/>
      <c r="L22" s="1202">
        <f t="shared" si="0"/>
        <v>0</v>
      </c>
    </row>
    <row r="23" spans="1:12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0</v>
      </c>
    </row>
    <row r="24" spans="1:12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2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2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2" s="1271" customFormat="1" ht="14.1" customHeight="1" x14ac:dyDescent="0.25">
      <c r="A27" s="1195"/>
      <c r="B27" s="1196"/>
      <c r="C27" s="1197"/>
      <c r="D27" s="1204"/>
      <c r="E27" s="1204"/>
      <c r="F27" s="1204"/>
      <c r="G27" s="710"/>
      <c r="H27" s="1197"/>
      <c r="I27" s="1275"/>
      <c r="J27" s="1213"/>
      <c r="K27" s="1311"/>
      <c r="L27" s="1215">
        <f t="shared" ref="L27:L28" si="1">ROUND(J27*K27,4)</f>
        <v>0</v>
      </c>
    </row>
    <row r="28" spans="1:12" s="1271" customFormat="1" ht="9.4499999999999993" customHeight="1" x14ac:dyDescent="0.25">
      <c r="A28" s="1312"/>
      <c r="B28" s="1313"/>
      <c r="C28" s="1217"/>
      <c r="D28" s="1217"/>
      <c r="E28" s="1217"/>
      <c r="F28" s="1217"/>
      <c r="G28" s="1173"/>
      <c r="H28" s="1193"/>
      <c r="I28" s="1218"/>
      <c r="J28" s="1219"/>
      <c r="K28" s="1302"/>
      <c r="L28" s="1215">
        <f t="shared" si="1"/>
        <v>0</v>
      </c>
    </row>
    <row r="29" spans="1:12" s="1271" customFormat="1" ht="14.1" customHeight="1" x14ac:dyDescent="0.25">
      <c r="A29" s="1702" t="s">
        <v>478</v>
      </c>
      <c r="B29" s="1702"/>
      <c r="C29" s="1702"/>
      <c r="D29" s="1702"/>
      <c r="E29" s="1702"/>
      <c r="F29" s="1702"/>
      <c r="G29" s="1702"/>
      <c r="H29" s="1702"/>
      <c r="I29" s="1702"/>
      <c r="J29" s="1702"/>
      <c r="K29" s="1702"/>
      <c r="L29" s="1208">
        <f>ROUND(SUM(L27:L28),4)</f>
        <v>0</v>
      </c>
    </row>
    <row r="30" spans="1:12" s="1272" customFormat="1" ht="3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10"/>
      <c r="L30" s="1229"/>
    </row>
    <row r="31" spans="1:12" s="1272" customFormat="1" ht="14.1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20" t="s">
        <v>479</v>
      </c>
      <c r="L31" s="1221">
        <f>L23+L29</f>
        <v>0</v>
      </c>
    </row>
    <row r="32" spans="1:12" s="1272" customFormat="1" ht="14.1" customHeight="1" x14ac:dyDescent="0.25">
      <c r="A32" s="1222" t="s">
        <v>480</v>
      </c>
      <c r="B32" s="1209"/>
      <c r="C32" s="1209"/>
      <c r="D32" s="1209"/>
      <c r="E32" s="1209"/>
      <c r="F32" s="1314">
        <v>1</v>
      </c>
      <c r="G32" s="1276" t="str">
        <f>L16</f>
        <v xml:space="preserve">un </v>
      </c>
      <c r="H32" s="1222"/>
      <c r="I32" s="1209"/>
      <c r="J32" s="1225"/>
      <c r="K32" s="1226" t="s">
        <v>481</v>
      </c>
      <c r="L32" s="1208">
        <f>ROUND(L31/F32,4)</f>
        <v>0</v>
      </c>
    </row>
    <row r="33" spans="1:12" s="1272" customFormat="1" ht="14.1" customHeight="1" x14ac:dyDescent="0.25">
      <c r="A33" s="1222"/>
      <c r="B33" s="1209" t="s">
        <v>482</v>
      </c>
      <c r="C33" s="1209"/>
      <c r="D33" s="1209"/>
      <c r="E33" s="1209"/>
      <c r="F33" s="1223"/>
      <c r="G33" s="1224"/>
      <c r="H33" s="1222"/>
      <c r="I33" s="1209"/>
      <c r="J33" s="1225"/>
      <c r="K33" s="1220" t="s">
        <v>483</v>
      </c>
      <c r="L33" s="1208">
        <f>ROUND(L32*F33,4)</f>
        <v>0</v>
      </c>
    </row>
    <row r="34" spans="1:12" s="1272" customFormat="1" ht="14.1" customHeight="1" x14ac:dyDescent="0.25">
      <c r="A34" s="1222"/>
      <c r="B34" s="1209" t="s">
        <v>484</v>
      </c>
      <c r="C34" s="1209"/>
      <c r="D34" s="1209"/>
      <c r="E34" s="1209"/>
      <c r="F34" s="1227"/>
      <c r="G34" s="1224"/>
      <c r="H34" s="1225"/>
      <c r="I34" s="1228"/>
      <c r="J34" s="1210"/>
      <c r="K34" s="1220" t="s">
        <v>485</v>
      </c>
      <c r="L34" s="1208">
        <f>ROUND(L32*F34,4)</f>
        <v>0</v>
      </c>
    </row>
    <row r="35" spans="1:12" s="1272" customFormat="1" ht="3" customHeight="1" x14ac:dyDescent="0.25">
      <c r="A35" s="1209"/>
      <c r="B35" s="1209"/>
      <c r="C35" s="1209"/>
      <c r="D35" s="1209"/>
      <c r="E35" s="1209"/>
      <c r="F35" s="1209"/>
      <c r="G35" s="1209"/>
      <c r="H35" s="1209"/>
      <c r="I35" s="1209"/>
      <c r="J35" s="1210"/>
      <c r="K35" s="1210"/>
      <c r="L35" s="1229"/>
    </row>
    <row r="36" spans="1:12" s="1271" customFormat="1" ht="14.1" customHeight="1" x14ac:dyDescent="0.25">
      <c r="A36" s="1696" t="s">
        <v>486</v>
      </c>
      <c r="B36" s="1696"/>
      <c r="C36" s="1696"/>
      <c r="D36" s="1696"/>
      <c r="E36" s="1696"/>
      <c r="F36" s="1696"/>
      <c r="G36" s="1696"/>
      <c r="H36" s="1696"/>
      <c r="I36" s="1704" t="s">
        <v>487</v>
      </c>
      <c r="J36" s="1704"/>
      <c r="K36" s="1704"/>
      <c r="L36" s="1230">
        <f>ROUND(SUM(L32:L35),4)</f>
        <v>0</v>
      </c>
    </row>
    <row r="37" spans="1:12" s="1272" customFormat="1" ht="3" customHeight="1" x14ac:dyDescent="0.25">
      <c r="A37" s="710"/>
      <c r="B37" s="710"/>
      <c r="C37" s="710"/>
      <c r="D37" s="710"/>
      <c r="E37" s="710"/>
      <c r="F37" s="710"/>
      <c r="G37" s="1231"/>
      <c r="H37" s="1231"/>
      <c r="I37" s="1232"/>
      <c r="J37" s="1232"/>
      <c r="K37" s="1232"/>
      <c r="L37" s="710"/>
    </row>
    <row r="38" spans="1:12" s="1271" customFormat="1" ht="14.1" customHeight="1" x14ac:dyDescent="0.25">
      <c r="A38" s="1696" t="s">
        <v>488</v>
      </c>
      <c r="B38" s="1696"/>
      <c r="C38" s="1696"/>
      <c r="D38" s="1696"/>
      <c r="E38" s="1696"/>
      <c r="F38" s="1696"/>
      <c r="G38" s="1696"/>
      <c r="H38" s="1697" t="s">
        <v>164</v>
      </c>
      <c r="I38" s="1697"/>
      <c r="J38" s="1697" t="s">
        <v>163</v>
      </c>
      <c r="K38" s="1192" t="s">
        <v>489</v>
      </c>
      <c r="L38" s="1192" t="s">
        <v>472</v>
      </c>
    </row>
    <row r="39" spans="1:12" s="1271" customFormat="1" ht="14.1" customHeight="1" x14ac:dyDescent="0.25">
      <c r="A39" s="1696"/>
      <c r="B39" s="1696"/>
      <c r="C39" s="1696"/>
      <c r="D39" s="1696"/>
      <c r="E39" s="1696"/>
      <c r="F39" s="1696"/>
      <c r="G39" s="1696"/>
      <c r="H39" s="1697"/>
      <c r="I39" s="1697"/>
      <c r="J39" s="1697"/>
      <c r="K39" s="1233" t="s">
        <v>490</v>
      </c>
      <c r="L39" s="1194" t="s">
        <v>490</v>
      </c>
    </row>
    <row r="40" spans="1:12" s="1271" customFormat="1" ht="24.9" customHeight="1" x14ac:dyDescent="0.25">
      <c r="A40" s="1726" t="str">
        <f>CONCATENATE('[1]5.1-ECT-50m'!L6," ",'[1]5.1-ECT-50m'!L7)</f>
        <v>INCRA C 5.1</v>
      </c>
      <c r="B40" s="1726"/>
      <c r="C40" s="1254" t="s">
        <v>434</v>
      </c>
      <c r="D40" s="1732" t="str">
        <f>'[1]5.1-ECT-50m'!E18</f>
        <v>Escavação, carga e transporte de material  de 1ª categoria (DMT ≤ 50 m), inclusive seção padrão</v>
      </c>
      <c r="E40" s="1732"/>
      <c r="F40" s="1732"/>
      <c r="G40" s="1732"/>
      <c r="H40" s="1705">
        <f>(('[1]Nota de serviço'!K136+((3*'[1]Nota de serviço'!L136*2/2)+'[1]Nota de serviço'!K136))*'[1]Nota de serviço'!L136*'[1]Nota de serviço'!J136)/2</f>
        <v>33.75</v>
      </c>
      <c r="I40" s="1705"/>
      <c r="J40" s="1200" t="str">
        <f>'[1]5.1-ECT-50m'!L18</f>
        <v>m³</v>
      </c>
      <c r="K40" s="1302">
        <f>'[1]5.1-ECT-50m'!L64</f>
        <v>1.3088</v>
      </c>
      <c r="L40" s="1238">
        <f t="shared" ref="L40:L43" si="2">ROUND(K40*H40,4)</f>
        <v>44.171999999999997</v>
      </c>
    </row>
    <row r="41" spans="1:12" s="1271" customFormat="1" ht="24.9" customHeight="1" x14ac:dyDescent="0.25">
      <c r="A41" s="1733" t="str">
        <f>CONCATENATE('[1]5.13-Cpct.Aterro'!L6," ",'[1]5.13-Cpct.Aterro'!L7)</f>
        <v>INCRA C 5.13</v>
      </c>
      <c r="B41" s="1733"/>
      <c r="C41" s="710" t="s">
        <v>434</v>
      </c>
      <c r="D41" s="1734" t="str">
        <f>'[1]5.13-Cpct.Aterro'!E18</f>
        <v>Compactação de aterros a 95 % do proctor normal (inclusos o espalhamento e a conformação da plataforma)</v>
      </c>
      <c r="E41" s="1734"/>
      <c r="F41" s="1734"/>
      <c r="G41" s="1734"/>
      <c r="H41" s="1727">
        <f>H40</f>
        <v>33.75</v>
      </c>
      <c r="I41" s="1727"/>
      <c r="J41" s="1200" t="str">
        <f>'[1]5.13-Cpct.Aterro'!L18</f>
        <v>m³</v>
      </c>
      <c r="K41" s="1302">
        <f>'[1]5.13-Cpct.Aterro'!L65</f>
        <v>3.2172999999999998</v>
      </c>
      <c r="L41" s="1202">
        <f t="shared" si="2"/>
        <v>108.5839</v>
      </c>
    </row>
    <row r="42" spans="1:12" s="1271" customFormat="1" ht="14.1" customHeight="1" x14ac:dyDescent="0.25">
      <c r="A42" s="1320"/>
      <c r="B42" s="1316"/>
      <c r="C42" s="1201"/>
      <c r="D42" s="1316"/>
      <c r="E42" s="1316"/>
      <c r="F42" s="1316"/>
      <c r="G42" s="1317"/>
      <c r="H42" s="1727"/>
      <c r="I42" s="1727"/>
      <c r="J42" s="1200"/>
      <c r="K42" s="1302"/>
      <c r="L42" s="1202">
        <f t="shared" si="2"/>
        <v>0</v>
      </c>
    </row>
    <row r="43" spans="1:12" s="1271" customFormat="1" ht="14.1" customHeight="1" x14ac:dyDescent="0.25">
      <c r="A43" s="1320"/>
      <c r="B43" s="1316"/>
      <c r="C43" s="1201"/>
      <c r="D43" s="1321"/>
      <c r="E43" s="1321"/>
      <c r="F43" s="1321"/>
      <c r="G43" s="1322"/>
      <c r="H43" s="1706"/>
      <c r="I43" s="1706"/>
      <c r="J43" s="1200"/>
      <c r="K43" s="1302"/>
      <c r="L43" s="1202">
        <f t="shared" si="2"/>
        <v>0</v>
      </c>
    </row>
    <row r="44" spans="1:12" s="1271" customFormat="1" ht="14.1" customHeight="1" x14ac:dyDescent="0.25">
      <c r="A44" s="1707" t="s">
        <v>491</v>
      </c>
      <c r="B44" s="1707"/>
      <c r="C44" s="1707"/>
      <c r="D44" s="1707"/>
      <c r="E44" s="1707"/>
      <c r="F44" s="1707"/>
      <c r="G44" s="1707"/>
      <c r="H44" s="1707"/>
      <c r="I44" s="1707"/>
      <c r="J44" s="1707"/>
      <c r="K44" s="1707"/>
      <c r="L44" s="1230">
        <f>ROUND(SUM(L40:L43),4)</f>
        <v>152.7559</v>
      </c>
    </row>
    <row r="45" spans="1:12" s="1272" customFormat="1" ht="9.4499999999999993" customHeight="1" x14ac:dyDescent="0.25">
      <c r="A45" s="1241"/>
      <c r="B45" s="1241"/>
      <c r="C45" s="1241"/>
      <c r="D45" s="1241"/>
      <c r="E45" s="1241"/>
      <c r="F45" s="1241"/>
      <c r="G45" s="1241"/>
      <c r="H45" s="1241"/>
      <c r="I45" s="1241"/>
      <c r="J45" s="710"/>
      <c r="K45" s="1242"/>
      <c r="L45" s="1243"/>
    </row>
    <row r="46" spans="1:12" s="1271" customFormat="1" ht="14.1" customHeight="1" x14ac:dyDescent="0.25">
      <c r="A46" s="1696" t="s">
        <v>492</v>
      </c>
      <c r="B46" s="1696"/>
      <c r="C46" s="1696"/>
      <c r="D46" s="1696"/>
      <c r="E46" s="1696"/>
      <c r="F46" s="1696"/>
      <c r="G46" s="1703" t="s">
        <v>493</v>
      </c>
      <c r="H46" s="1697" t="s">
        <v>494</v>
      </c>
      <c r="I46" s="1697"/>
      <c r="J46" s="1697"/>
      <c r="K46" s="1697"/>
      <c r="L46" s="1697" t="s">
        <v>495</v>
      </c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211" t="s">
        <v>110</v>
      </c>
      <c r="I47" s="1218" t="s">
        <v>302</v>
      </c>
      <c r="J47" s="1194" t="s">
        <v>305</v>
      </c>
      <c r="K47" s="1233" t="s">
        <v>307</v>
      </c>
      <c r="L47" s="1697"/>
    </row>
    <row r="48" spans="1:12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191" t="s">
        <v>496</v>
      </c>
      <c r="I48" s="1244"/>
      <c r="J48" s="1244"/>
      <c r="K48" s="1244"/>
      <c r="L48" s="1697"/>
    </row>
    <row r="49" spans="1:12" s="1271" customFormat="1" ht="14.1" customHeight="1" x14ac:dyDescent="0.25">
      <c r="A49" s="1728"/>
      <c r="B49" s="1729"/>
      <c r="C49" s="1711" t="s">
        <v>434</v>
      </c>
      <c r="D49" s="1730"/>
      <c r="E49" s="1730"/>
      <c r="F49" s="1731"/>
      <c r="G49" s="1714"/>
      <c r="H49" s="1245" t="s">
        <v>497</v>
      </c>
      <c r="I49" s="1323"/>
      <c r="J49" s="1324"/>
      <c r="K49" s="1325"/>
      <c r="L49" s="1715">
        <f>ROUND(G49*($I$48*I50+$J$48*J50+$K$48*K50),4)</f>
        <v>0</v>
      </c>
    </row>
    <row r="50" spans="1:12" s="1271" customFormat="1" ht="14.1" customHeight="1" x14ac:dyDescent="0.25">
      <c r="A50" s="1728"/>
      <c r="B50" s="1729"/>
      <c r="C50" s="1711"/>
      <c r="D50" s="1730"/>
      <c r="E50" s="1730"/>
      <c r="F50" s="1731"/>
      <c r="G50" s="1714"/>
      <c r="H50" s="1247" t="s">
        <v>498</v>
      </c>
      <c r="I50" s="1326"/>
      <c r="J50" s="1327"/>
      <c r="K50" s="1328"/>
      <c r="L50" s="1715"/>
    </row>
    <row r="51" spans="1:12" s="1271" customFormat="1" ht="14.1" customHeight="1" x14ac:dyDescent="0.25">
      <c r="A51" s="1707" t="s">
        <v>499</v>
      </c>
      <c r="B51" s="1707"/>
      <c r="C51" s="1707"/>
      <c r="D51" s="1707"/>
      <c r="E51" s="1707"/>
      <c r="F51" s="1707"/>
      <c r="G51" s="1707"/>
      <c r="H51" s="1707"/>
      <c r="I51" s="1707"/>
      <c r="J51" s="1707"/>
      <c r="K51" s="1707"/>
      <c r="L51" s="1253">
        <f>ROUND(SUM(L49:L50),4)</f>
        <v>0</v>
      </c>
    </row>
    <row r="52" spans="1:12" s="1271" customFormat="1" ht="3" customHeight="1" x14ac:dyDescent="0.25">
      <c r="A52" s="1254"/>
      <c r="B52" s="1254"/>
      <c r="C52" s="1254"/>
      <c r="D52" s="1254"/>
      <c r="E52" s="1254"/>
      <c r="F52" s="1254"/>
      <c r="G52" s="1241"/>
      <c r="H52" s="1255"/>
      <c r="I52" s="1255"/>
      <c r="J52" s="1256"/>
      <c r="K52" s="1257"/>
      <c r="L52" s="1258"/>
    </row>
    <row r="53" spans="1:12" s="1271" customFormat="1" ht="15" customHeight="1" x14ac:dyDescent="0.25">
      <c r="A53" s="1707" t="s">
        <v>448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ROUND(L36+L44+L51,4)</f>
        <v>152.7559</v>
      </c>
    </row>
    <row r="54" spans="1:12" s="1271" customFormat="1" ht="15" customHeight="1" x14ac:dyDescent="0.25">
      <c r="A54" s="1716" t="s">
        <v>449</v>
      </c>
      <c r="B54" s="1716"/>
      <c r="C54" s="1716"/>
      <c r="D54" s="1716"/>
      <c r="E54" s="1716"/>
      <c r="F54" s="1716"/>
      <c r="G54" s="1716"/>
      <c r="H54" s="1716"/>
      <c r="I54" s="1716"/>
      <c r="J54" s="1716"/>
      <c r="K54" s="1259">
        <f>[1]LDI!I34</f>
        <v>0.25569999999999998</v>
      </c>
      <c r="L54" s="1298">
        <f>ROUND(L53*K54,4)</f>
        <v>39.059699999999999</v>
      </c>
    </row>
    <row r="55" spans="1:12" s="1271" customFormat="1" ht="20.100000000000001" customHeight="1" x14ac:dyDescent="0.25">
      <c r="A55" s="1704" t="s">
        <v>450</v>
      </c>
      <c r="B55" s="1704"/>
      <c r="C55" s="1704"/>
      <c r="D55" s="1704"/>
      <c r="E55" s="1704"/>
      <c r="F55" s="1704"/>
      <c r="G55" s="1704"/>
      <c r="H55" s="1704"/>
      <c r="I55" s="1704"/>
      <c r="J55" s="1704"/>
      <c r="K55" s="1704"/>
      <c r="L55" s="1329">
        <f>ROUND(L53+L54,2)</f>
        <v>191.82</v>
      </c>
    </row>
    <row r="56" spans="1:12" s="1271" customFormat="1" ht="3" customHeight="1" x14ac:dyDescent="0.25">
      <c r="A56" s="1261"/>
      <c r="B56" s="1261"/>
      <c r="C56" s="1261"/>
      <c r="D56" s="1261"/>
      <c r="E56" s="1261"/>
      <c r="F56" s="1261"/>
      <c r="G56" s="1261"/>
      <c r="H56" s="1261"/>
      <c r="I56" s="1261"/>
      <c r="J56" s="1261"/>
      <c r="K56" s="1261"/>
      <c r="L56" s="1261"/>
    </row>
    <row r="57" spans="1:12" s="1271" customFormat="1" ht="24.9" customHeight="1" x14ac:dyDescent="0.25">
      <c r="A57" s="1262" t="s">
        <v>451</v>
      </c>
      <c r="B57" s="1263"/>
      <c r="C57" s="1736" t="s">
        <v>572</v>
      </c>
      <c r="D57" s="1736"/>
      <c r="E57" s="1736"/>
      <c r="F57" s="1736"/>
      <c r="G57" s="1736"/>
      <c r="H57" s="1736"/>
      <c r="I57" s="1736"/>
      <c r="J57" s="1736"/>
      <c r="K57" s="1736"/>
      <c r="L57" s="1736"/>
    </row>
    <row r="58" spans="1:12" s="1271" customFormat="1" ht="15" customHeight="1" x14ac:dyDescent="0.25">
      <c r="A58" s="1264"/>
      <c r="B58" s="1265"/>
      <c r="C58" s="1735" t="s">
        <v>570</v>
      </c>
      <c r="D58" s="1735"/>
      <c r="E58" s="1735"/>
      <c r="F58" s="1735"/>
      <c r="G58" s="1735"/>
      <c r="H58" s="1735"/>
      <c r="I58" s="1735"/>
      <c r="J58" s="1735"/>
      <c r="K58" s="1735"/>
      <c r="L58" s="1735"/>
    </row>
    <row r="59" spans="1:12" ht="21.75" customHeight="1" x14ac:dyDescent="0.2">
      <c r="A59" s="1267"/>
      <c r="B59" s="1268"/>
      <c r="C59" s="1331"/>
      <c r="D59" s="1331"/>
      <c r="E59" s="1331"/>
      <c r="F59" s="1331"/>
      <c r="G59" s="1331"/>
      <c r="H59" s="1331"/>
      <c r="I59" s="1331"/>
      <c r="J59" s="1331"/>
      <c r="K59" s="1331"/>
      <c r="L59" s="1332"/>
    </row>
    <row r="60" spans="1:12" ht="20.25" customHeight="1" x14ac:dyDescent="0.2"/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0">
    <mergeCell ref="C58:L58"/>
    <mergeCell ref="L49:L50"/>
    <mergeCell ref="A51:K51"/>
    <mergeCell ref="A53:K53"/>
    <mergeCell ref="A54:J54"/>
    <mergeCell ref="A55:K55"/>
    <mergeCell ref="C57:L57"/>
    <mergeCell ref="A46:F48"/>
    <mergeCell ref="G46:G48"/>
    <mergeCell ref="H46:K46"/>
    <mergeCell ref="L46:L48"/>
    <mergeCell ref="A49:A50"/>
    <mergeCell ref="B49:B50"/>
    <mergeCell ref="C49:C50"/>
    <mergeCell ref="D49:E50"/>
    <mergeCell ref="F49:F50"/>
    <mergeCell ref="G49:G50"/>
    <mergeCell ref="A44:K44"/>
    <mergeCell ref="A38:G39"/>
    <mergeCell ref="H38:I39"/>
    <mergeCell ref="J38:J39"/>
    <mergeCell ref="A40:B40"/>
    <mergeCell ref="D40:G40"/>
    <mergeCell ref="H40:I40"/>
    <mergeCell ref="A41:B41"/>
    <mergeCell ref="D41:G41"/>
    <mergeCell ref="H41:I41"/>
    <mergeCell ref="H42:I42"/>
    <mergeCell ref="H43:I43"/>
    <mergeCell ref="A36:H36"/>
    <mergeCell ref="I36:K36"/>
    <mergeCell ref="A8:L8"/>
    <mergeCell ref="A10:D10"/>
    <mergeCell ref="A13:L14"/>
    <mergeCell ref="E16:J16"/>
    <mergeCell ref="A18:F19"/>
    <mergeCell ref="G18:G19"/>
    <mergeCell ref="H18:I18"/>
    <mergeCell ref="J18:K18"/>
    <mergeCell ref="A23:K23"/>
    <mergeCell ref="A25:I26"/>
    <mergeCell ref="J25:J26"/>
    <mergeCell ref="K25:K26"/>
    <mergeCell ref="A29:K29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15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65536"/>
  <sheetViews>
    <sheetView view="pageBreakPreview" topLeftCell="A34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7.399999999999999" customHeight="1" x14ac:dyDescent="0.2">
      <c r="A1" s="1550" t="str">
        <f>'[1]Planilha orçamentária'!E4</f>
        <v>PROJETO BÁSICO DE ENGENHARIA</v>
      </c>
      <c r="B1" s="1550"/>
      <c r="C1" s="1550"/>
      <c r="D1" s="1550"/>
      <c r="E1" s="1550"/>
      <c r="F1" s="1550"/>
      <c r="G1" s="1550"/>
      <c r="H1" s="1550"/>
      <c r="I1" s="1550"/>
      <c r="J1" s="1550"/>
      <c r="K1" s="1550"/>
      <c r="L1" s="1550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'5.8'!A3:K3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'5.8'!A4:K4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6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198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8.2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1.2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198</v>
      </c>
      <c r="E15" s="1695" t="s">
        <v>573</v>
      </c>
      <c r="F15" s="1695"/>
      <c r="G15" s="1695"/>
      <c r="H15" s="1695"/>
      <c r="I15" s="1695"/>
      <c r="J15" s="1695"/>
      <c r="K15" s="1189" t="s">
        <v>417</v>
      </c>
      <c r="L15" s="1190" t="s">
        <v>136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4" customHeight="1" x14ac:dyDescent="0.25">
      <c r="A19" s="1195" t="str">
        <f>'[1]Composições - Equipamentos'!A62</f>
        <v>DNIT –</v>
      </c>
      <c r="B19" s="1284" t="str">
        <f>'[1]Composições - Equipamentos'!B62</f>
        <v>E9686</v>
      </c>
      <c r="C19" s="1197" t="s">
        <v>434</v>
      </c>
      <c r="D19" s="1719" t="str">
        <f>'[1]Composições - Equipamentos'!C62</f>
        <v>Caminhão carroceria com guindauto com capacidade de 20 t.m - 136 kW</v>
      </c>
      <c r="E19" s="1719"/>
      <c r="F19" s="1719"/>
      <c r="G19" s="1199">
        <v>1</v>
      </c>
      <c r="H19" s="1200">
        <v>1</v>
      </c>
      <c r="I19" s="1201">
        <v>0</v>
      </c>
      <c r="J19" s="1289">
        <f>'[1]Composições - Equipamentos'!S62</f>
        <v>198.30850000000001</v>
      </c>
      <c r="K19" s="1289">
        <f>'[1]Composições - Equipamentos'!T62</f>
        <v>85.256</v>
      </c>
      <c r="L19" s="1289">
        <f t="shared" ref="L19:L20" si="0">ROUND((G19*H19*J19)+(G19*I19*K19),4)</f>
        <v>198.30850000000001</v>
      </c>
    </row>
    <row r="20" spans="1:14" s="1271" customFormat="1" ht="14.1" customHeight="1" x14ac:dyDescent="0.25">
      <c r="A20" s="1203"/>
      <c r="B20" s="1333"/>
      <c r="C20" s="1197"/>
      <c r="D20" s="1204"/>
      <c r="E20" s="1204"/>
      <c r="F20" s="1204"/>
      <c r="G20" s="1205"/>
      <c r="H20" s="1200"/>
      <c r="I20" s="1201"/>
      <c r="J20" s="1291"/>
      <c r="K20" s="129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92">
        <f>ROUND(SUM(L19:L20),4)</f>
        <v>198.30850000000001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195" t="str">
        <f>'[1]Atualização de custos unitarios'!A81</f>
        <v>DNIT –</v>
      </c>
      <c r="B25" s="1212" t="str">
        <f>'[1]Atualização de custos unitarios'!B81</f>
        <v>P9821</v>
      </c>
      <c r="C25" s="1197" t="s">
        <v>434</v>
      </c>
      <c r="D25" s="1204" t="str">
        <f>'[1]Atualização de custos unitarios'!C81</f>
        <v>Pedreiro</v>
      </c>
      <c r="E25" s="1204"/>
      <c r="F25" s="1204"/>
      <c r="G25" s="1204"/>
      <c r="H25" s="1204"/>
      <c r="I25" s="1198"/>
      <c r="J25" s="1213">
        <v>1</v>
      </c>
      <c r="K25" s="1252">
        <f>'1.1'!G97</f>
        <v>19.101600000000001</v>
      </c>
      <c r="L25" s="1293">
        <f t="shared" ref="L25:L27" si="1">ROUND(J25*K25,4)</f>
        <v>19.101600000000001</v>
      </c>
      <c r="N25" s="1274"/>
    </row>
    <row r="26" spans="1:14" s="1271" customFormat="1" ht="14.1" customHeight="1" x14ac:dyDescent="0.25">
      <c r="A26" s="1318" t="str">
        <f>'[1]Atualização de custos unitarios'!A84</f>
        <v>DNIT –</v>
      </c>
      <c r="B26" s="1319" t="str">
        <f>'[1]Atualização de custos unitarios'!B84</f>
        <v>P9824</v>
      </c>
      <c r="C26" s="1197" t="s">
        <v>434</v>
      </c>
      <c r="D26" s="1699" t="str">
        <f>'[1]Atualização de custos unitarios'!C84</f>
        <v>Servente</v>
      </c>
      <c r="E26" s="1699"/>
      <c r="F26" s="1699"/>
      <c r="G26" s="1699"/>
      <c r="H26" s="1699"/>
      <c r="I26" s="1699"/>
      <c r="J26" s="1213">
        <v>3</v>
      </c>
      <c r="K26" s="1252">
        <f>'1.1'!G100</f>
        <v>14.981199999999999</v>
      </c>
      <c r="L26" s="1293">
        <f t="shared" si="1"/>
        <v>44.943600000000004</v>
      </c>
    </row>
    <row r="27" spans="1:14" s="1271" customFormat="1" ht="14.1" customHeight="1" x14ac:dyDescent="0.25">
      <c r="A27" s="1216"/>
      <c r="B27" s="1217"/>
      <c r="C27" s="1217"/>
      <c r="D27" s="1217"/>
      <c r="E27" s="1217"/>
      <c r="F27" s="1217"/>
      <c r="G27" s="1173"/>
      <c r="H27" s="1193"/>
      <c r="I27" s="1218"/>
      <c r="J27" s="1219"/>
      <c r="K27" s="1252"/>
      <c r="L27" s="1293">
        <f t="shared" si="1"/>
        <v>0</v>
      </c>
    </row>
    <row r="28" spans="1:14" s="1271" customFormat="1" ht="9.4499999999999993" customHeight="1" x14ac:dyDescent="0.25">
      <c r="A28" s="1702" t="s">
        <v>478</v>
      </c>
      <c r="B28" s="1702"/>
      <c r="C28" s="1702"/>
      <c r="D28" s="1702"/>
      <c r="E28" s="1702"/>
      <c r="F28" s="1702"/>
      <c r="G28" s="1702"/>
      <c r="H28" s="1702"/>
      <c r="I28" s="1702"/>
      <c r="J28" s="1702"/>
      <c r="K28" s="1702"/>
      <c r="L28" s="1292">
        <f>ROUND(SUM(L25:L27),4)</f>
        <v>64.045199999999994</v>
      </c>
    </row>
    <row r="29" spans="1:14" s="1272" customFormat="1" ht="3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10"/>
      <c r="L29" s="1295"/>
    </row>
    <row r="30" spans="1:14" s="1272" customFormat="1" ht="14.1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20" t="s">
        <v>479</v>
      </c>
      <c r="L30" s="1294">
        <f>L21+L28</f>
        <v>262.3537</v>
      </c>
    </row>
    <row r="31" spans="1:14" s="1272" customFormat="1" ht="14.1" customHeight="1" x14ac:dyDescent="0.25">
      <c r="A31" s="1222" t="s">
        <v>480</v>
      </c>
      <c r="B31" s="1209"/>
      <c r="C31" s="1209"/>
      <c r="D31" s="1209"/>
      <c r="E31" s="1209"/>
      <c r="F31" s="1223">
        <v>6.2249999999999996</v>
      </c>
      <c r="G31" s="1276" t="str">
        <f>L15</f>
        <v>m</v>
      </c>
      <c r="H31" s="1222"/>
      <c r="I31" s="1209"/>
      <c r="J31" s="1225"/>
      <c r="K31" s="1226" t="s">
        <v>481</v>
      </c>
      <c r="L31" s="1208">
        <f>ROUND(L30/F31,4)</f>
        <v>42.145200000000003</v>
      </c>
    </row>
    <row r="32" spans="1:14" s="1272" customFormat="1" ht="14.1" customHeight="1" x14ac:dyDescent="0.25">
      <c r="A32" s="1222"/>
      <c r="B32" s="1209" t="s">
        <v>482</v>
      </c>
      <c r="C32" s="1209"/>
      <c r="D32" s="1209"/>
      <c r="E32" s="1209"/>
      <c r="F32" s="1223"/>
      <c r="G32" s="1224"/>
      <c r="H32" s="1222"/>
      <c r="I32" s="1209"/>
      <c r="J32" s="1225"/>
      <c r="K32" s="1220" t="s">
        <v>483</v>
      </c>
      <c r="L32" s="1208">
        <f>ROUND(L31*F32,4)</f>
        <v>0</v>
      </c>
    </row>
    <row r="33" spans="1:15" s="1272" customFormat="1" ht="14.1" customHeight="1" x14ac:dyDescent="0.25">
      <c r="A33" s="1222"/>
      <c r="B33" s="1209" t="s">
        <v>484</v>
      </c>
      <c r="C33" s="1209"/>
      <c r="D33" s="1209"/>
      <c r="E33" s="1209"/>
      <c r="F33" s="1227"/>
      <c r="G33" s="1224"/>
      <c r="H33" s="1225"/>
      <c r="I33" s="1228"/>
      <c r="J33" s="1210"/>
      <c r="K33" s="1220" t="s">
        <v>485</v>
      </c>
      <c r="L33" s="1292">
        <f>ROUND(L31*F33,4)</f>
        <v>0</v>
      </c>
    </row>
    <row r="34" spans="1:15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95"/>
    </row>
    <row r="35" spans="1:15" s="1271" customFormat="1" ht="14.1" customHeight="1" x14ac:dyDescent="0.25">
      <c r="A35" s="1696" t="s">
        <v>486</v>
      </c>
      <c r="B35" s="1696"/>
      <c r="C35" s="1696"/>
      <c r="D35" s="1696"/>
      <c r="E35" s="1696"/>
      <c r="F35" s="1696"/>
      <c r="G35" s="1696"/>
      <c r="H35" s="1696"/>
      <c r="I35" s="1704" t="s">
        <v>487</v>
      </c>
      <c r="J35" s="1704"/>
      <c r="K35" s="1704"/>
      <c r="L35" s="1296">
        <f>ROUND(SUM(L31:L34),4)</f>
        <v>42.145200000000003</v>
      </c>
      <c r="N35" s="1271">
        <v>0.4</v>
      </c>
    </row>
    <row r="36" spans="1:15" s="1272" customFormat="1" ht="3" customHeight="1" x14ac:dyDescent="0.25">
      <c r="A36" s="710"/>
      <c r="B36" s="710"/>
      <c r="C36" s="710"/>
      <c r="D36" s="710"/>
      <c r="E36" s="710"/>
      <c r="F36" s="710"/>
      <c r="G36" s="1231"/>
      <c r="H36" s="1231"/>
      <c r="I36" s="1232"/>
      <c r="J36" s="1232"/>
      <c r="K36" s="1232"/>
      <c r="L36" s="710"/>
    </row>
    <row r="37" spans="1:15" s="1271" customFormat="1" ht="14.1" customHeight="1" x14ac:dyDescent="0.25">
      <c r="A37" s="1696" t="s">
        <v>488</v>
      </c>
      <c r="B37" s="1696"/>
      <c r="C37" s="1696"/>
      <c r="D37" s="1696"/>
      <c r="E37" s="1696"/>
      <c r="F37" s="1696"/>
      <c r="G37" s="1696"/>
      <c r="H37" s="1697" t="s">
        <v>164</v>
      </c>
      <c r="I37" s="1697"/>
      <c r="J37" s="1697" t="s">
        <v>163</v>
      </c>
      <c r="K37" s="1192" t="s">
        <v>489</v>
      </c>
      <c r="L37" s="1192" t="s">
        <v>472</v>
      </c>
    </row>
    <row r="38" spans="1:15" s="1271" customFormat="1" ht="14.1" customHeight="1" x14ac:dyDescent="0.25">
      <c r="A38" s="1696"/>
      <c r="B38" s="1696"/>
      <c r="C38" s="1696"/>
      <c r="D38" s="1696"/>
      <c r="E38" s="1696"/>
      <c r="F38" s="1696"/>
      <c r="G38" s="1696"/>
      <c r="H38" s="1697"/>
      <c r="I38" s="1697"/>
      <c r="J38" s="1697"/>
      <c r="K38" s="1233" t="s">
        <v>490</v>
      </c>
      <c r="L38" s="1194" t="s">
        <v>490</v>
      </c>
    </row>
    <row r="39" spans="1:15" s="1271" customFormat="1" ht="14.1" customHeight="1" x14ac:dyDescent="0.25">
      <c r="A39" s="1334" t="str">
        <f>'[1]Atualização de custos unitarios'!A169</f>
        <v>DNIT –</v>
      </c>
      <c r="B39" s="1335" t="str">
        <f>'[1]Atualização de custos unitarios'!B169</f>
        <v>M2167</v>
      </c>
      <c r="C39" s="1255" t="s">
        <v>434</v>
      </c>
      <c r="D39" s="1722" t="str">
        <f>'[1]Atualização de custos unitarios'!C169</f>
        <v>Tubo de concreto armado PA 1 - D = 0,60 m</v>
      </c>
      <c r="E39" s="1722"/>
      <c r="F39" s="1722"/>
      <c r="G39" s="1722"/>
      <c r="H39" s="1705">
        <v>1</v>
      </c>
      <c r="I39" s="1705"/>
      <c r="J39" s="1336" t="str">
        <f>'[1]Atualização de custos unitarios'!D169</f>
        <v>m</v>
      </c>
      <c r="K39" s="1337">
        <v>115.14</v>
      </c>
      <c r="L39" s="1297">
        <f t="shared" ref="L39:L43" si="2">ROUND(H39*K39,4)</f>
        <v>115.14</v>
      </c>
      <c r="N39" s="1337">
        <v>115.54</v>
      </c>
      <c r="O39" s="1783">
        <f>N39-$N$35</f>
        <v>115.14</v>
      </c>
    </row>
    <row r="40" spans="1:15" s="1271" customFormat="1" ht="24.9" customHeight="1" x14ac:dyDescent="0.25">
      <c r="A40" s="1733" t="str">
        <f>CONCATENATE('[1]A004-Forma.Comum'!L6," ",'[1]A004-Forma.Comum'!L7)</f>
        <v>INCRA A 004</v>
      </c>
      <c r="B40" s="1733"/>
      <c r="C40" s="1197" t="s">
        <v>434</v>
      </c>
      <c r="D40" s="1701" t="str">
        <f>'[1]A004-Forma.Comum'!E18</f>
        <v>Formas de tábuas de pinho - utilização de 3 vezes - fornecimento, instalação e retirada</v>
      </c>
      <c r="E40" s="1701"/>
      <c r="F40" s="1701"/>
      <c r="G40" s="1701"/>
      <c r="H40" s="1727">
        <f>'[1]Vol. Bueiro60'!H9</f>
        <v>0.4</v>
      </c>
      <c r="I40" s="1727"/>
      <c r="J40" s="1237" t="str">
        <f>'[1]A004-Forma.Comum'!L18</f>
        <v>m²</v>
      </c>
      <c r="K40" s="1252">
        <v>77.47999999999999</v>
      </c>
      <c r="L40" s="1289">
        <f t="shared" si="2"/>
        <v>30.992000000000001</v>
      </c>
      <c r="N40" s="1252">
        <v>77.88</v>
      </c>
      <c r="O40" s="1783">
        <f t="shared" ref="O40:O42" si="3">N40-$N$35</f>
        <v>77.47999999999999</v>
      </c>
    </row>
    <row r="41" spans="1:15" s="1271" customFormat="1" ht="14.1" customHeight="1" x14ac:dyDescent="0.25">
      <c r="A41" s="1733" t="str">
        <f>CONCATENATE('[1]A006-Argamassa.1-4'!L6," ",'[1]A006-Argamassa.1-4'!L7)</f>
        <v>INCRA A 006</v>
      </c>
      <c r="B41" s="1733"/>
      <c r="C41" s="1197" t="s">
        <v>434</v>
      </c>
      <c r="D41" s="1699" t="str">
        <f>'[1]A006-Argamassa.1-4'!E18</f>
        <v>Argamassa de cimento e areia 1:4 - areia comercial</v>
      </c>
      <c r="E41" s="1699"/>
      <c r="F41" s="1699"/>
      <c r="G41" s="1699"/>
      <c r="H41" s="1727">
        <v>3.49E-3</v>
      </c>
      <c r="I41" s="1727"/>
      <c r="J41" s="1237" t="str">
        <f>'[1]A006-Argamassa.1-4'!L18</f>
        <v>m³</v>
      </c>
      <c r="K41" s="1252">
        <v>355.79</v>
      </c>
      <c r="L41" s="1289">
        <f t="shared" si="2"/>
        <v>1.2417</v>
      </c>
      <c r="N41" s="1252">
        <v>356.19</v>
      </c>
      <c r="O41" s="1783">
        <f t="shared" si="3"/>
        <v>355.79</v>
      </c>
    </row>
    <row r="42" spans="1:15" s="1271" customFormat="1" ht="24.9" customHeight="1" x14ac:dyDescent="0.25">
      <c r="A42" s="1733" t="str">
        <f>CONCATENATE('[1]A010-Conc.Cicl.20MPa'!L6," ",'[1]A010-Conc.Cicl.20MPa'!L7)</f>
        <v>INCRA A 010</v>
      </c>
      <c r="B42" s="1733"/>
      <c r="C42" s="1197" t="s">
        <v>434</v>
      </c>
      <c r="D42" s="1701" t="str">
        <f>'[1]A010-Conc.Cicl.20MPa'!E18</f>
        <v>Concreto ciclópico fck = 20 MPa - confecção em betoneira e lançamento manual - areia, brita e pedra de mão comerciais</v>
      </c>
      <c r="E42" s="1701"/>
      <c r="F42" s="1701"/>
      <c r="G42" s="1701"/>
      <c r="H42" s="1727">
        <f>'[1]Vol. Bueiro60'!I9</f>
        <v>0.15670000000000001</v>
      </c>
      <c r="I42" s="1727"/>
      <c r="J42" s="1237" t="str">
        <f>'[1]A010-Conc.Cicl.20MPa'!L18</f>
        <v>m³</v>
      </c>
      <c r="K42" s="1252">
        <v>328.53000000000003</v>
      </c>
      <c r="L42" s="1289">
        <f t="shared" si="2"/>
        <v>51.480699999999999</v>
      </c>
      <c r="N42" s="1252">
        <v>328.93</v>
      </c>
      <c r="O42" s="1783">
        <f t="shared" si="3"/>
        <v>328.53000000000003</v>
      </c>
    </row>
    <row r="43" spans="1:15" s="1271" customFormat="1" ht="14.1" customHeight="1" x14ac:dyDescent="0.25">
      <c r="A43" s="1338"/>
      <c r="B43" s="1339"/>
      <c r="C43" s="1193"/>
      <c r="D43" s="1739"/>
      <c r="E43" s="1739"/>
      <c r="F43" s="1739"/>
      <c r="G43" s="1739"/>
      <c r="H43" s="1706"/>
      <c r="I43" s="1706"/>
      <c r="J43" s="1340"/>
      <c r="K43" s="1341"/>
      <c r="L43" s="1291">
        <f t="shared" si="2"/>
        <v>0</v>
      </c>
    </row>
    <row r="44" spans="1:15" s="1271" customFormat="1" ht="14.1" customHeight="1" x14ac:dyDescent="0.25">
      <c r="A44" s="1738" t="s">
        <v>491</v>
      </c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53">
        <f>ROUND(SUM(L39:L43),4)</f>
        <v>198.8544</v>
      </c>
    </row>
    <row r="45" spans="1:15" s="1272" customFormat="1" ht="9.4499999999999993" customHeight="1" x14ac:dyDescent="0.25">
      <c r="A45" s="1738"/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243"/>
    </row>
    <row r="46" spans="1:15" s="1271" customFormat="1" ht="14.1" customHeight="1" x14ac:dyDescent="0.25">
      <c r="A46" s="1696" t="s">
        <v>492</v>
      </c>
      <c r="B46" s="1696"/>
      <c r="C46" s="1696"/>
      <c r="D46" s="1696"/>
      <c r="E46" s="1696"/>
      <c r="F46" s="1696"/>
      <c r="G46" s="1703" t="s">
        <v>493</v>
      </c>
      <c r="H46" s="1697" t="s">
        <v>494</v>
      </c>
      <c r="I46" s="1697"/>
      <c r="J46" s="1697"/>
      <c r="K46" s="1697"/>
      <c r="L46" s="1697" t="s">
        <v>495</v>
      </c>
    </row>
    <row r="47" spans="1:15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211" t="s">
        <v>110</v>
      </c>
      <c r="I47" s="1218" t="s">
        <v>302</v>
      </c>
      <c r="J47" s="1194" t="s">
        <v>305</v>
      </c>
      <c r="K47" s="1233" t="s">
        <v>307</v>
      </c>
      <c r="L47" s="1697"/>
    </row>
    <row r="48" spans="1:15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191" t="s">
        <v>496</v>
      </c>
      <c r="I48" s="1244"/>
      <c r="J48" s="1244"/>
      <c r="K48" s="1244"/>
      <c r="L48" s="1697"/>
    </row>
    <row r="49" spans="1:12" s="1271" customFormat="1" ht="14.1" customHeight="1" x14ac:dyDescent="0.25">
      <c r="A49" s="1740" t="str">
        <f>A39</f>
        <v>DNIT –</v>
      </c>
      <c r="B49" s="1710" t="str">
        <f>B39</f>
        <v>M2167</v>
      </c>
      <c r="C49" s="1711" t="s">
        <v>434</v>
      </c>
      <c r="D49" s="1712" t="str">
        <f>D39</f>
        <v>Tubo de concreto armado PA 1 - D = 0,60 m</v>
      </c>
      <c r="E49" s="1712"/>
      <c r="F49" s="1713" t="s">
        <v>574</v>
      </c>
      <c r="G49" s="1714">
        <f>ROUND(339/1000,5)</f>
        <v>0.33900000000000002</v>
      </c>
      <c r="H49" s="1245" t="s">
        <v>497</v>
      </c>
      <c r="I49" s="1246">
        <f>'[1]Composições - Transportes'!B26</f>
        <v>5914584</v>
      </c>
      <c r="J49" s="1246">
        <f>'[1]Composições - Transportes'!B27</f>
        <v>5914599</v>
      </c>
      <c r="K49" s="1246">
        <f>'[1]Composições - Transportes'!B28</f>
        <v>5914614</v>
      </c>
      <c r="L49" s="1715">
        <f>ROUND(G49*($I$48*I50+$J$48*J50+$K$48*K50),4)</f>
        <v>0</v>
      </c>
    </row>
    <row r="50" spans="1:12" s="1271" customFormat="1" ht="14.1" customHeight="1" x14ac:dyDescent="0.25">
      <c r="A50" s="1740"/>
      <c r="B50" s="1710"/>
      <c r="C50" s="1711"/>
      <c r="D50" s="1712"/>
      <c r="E50" s="1712"/>
      <c r="F50" s="1713"/>
      <c r="G50" s="1714"/>
      <c r="H50" s="1247" t="s">
        <v>498</v>
      </c>
      <c r="I50" s="1248">
        <f>'[1]Composições - Transportes'!S26</f>
        <v>1.79</v>
      </c>
      <c r="J50" s="1248">
        <f>'[1]Composições - Transportes'!S27</f>
        <v>1.43</v>
      </c>
      <c r="K50" s="1248">
        <f>'[1]Composições - Transportes'!S28</f>
        <v>1.1399999999999999</v>
      </c>
      <c r="L50" s="1715"/>
    </row>
    <row r="51" spans="1:12" s="1271" customFormat="1" ht="14.1" customHeight="1" x14ac:dyDescent="0.25">
      <c r="A51" s="1318"/>
      <c r="B51" s="1319"/>
      <c r="C51" s="1197"/>
      <c r="D51" s="1701"/>
      <c r="E51" s="1701"/>
      <c r="F51" s="1701"/>
      <c r="G51" s="1199"/>
      <c r="H51" s="1342"/>
      <c r="I51" s="1342"/>
      <c r="J51" s="1251"/>
      <c r="K51" s="1343"/>
      <c r="L51" s="1202"/>
    </row>
    <row r="52" spans="1:12" s="1271" customFormat="1" ht="3" customHeight="1" x14ac:dyDescent="0.25">
      <c r="A52" s="1216"/>
      <c r="B52" s="1204"/>
      <c r="C52" s="1197"/>
      <c r="D52" s="1217"/>
      <c r="E52" s="1217"/>
      <c r="F52" s="1217"/>
      <c r="G52" s="1205"/>
      <c r="H52" s="1344"/>
      <c r="I52" s="1344"/>
      <c r="J52" s="1251"/>
      <c r="K52" s="1345"/>
      <c r="L52" s="1202"/>
    </row>
    <row r="53" spans="1:12" s="1271" customFormat="1" ht="14.1" customHeight="1" x14ac:dyDescent="0.25">
      <c r="A53" s="1707" t="s">
        <v>499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ROUND(SUM(L49:L52),4)</f>
        <v>0</v>
      </c>
    </row>
    <row r="54" spans="1:12" s="1271" customFormat="1" ht="3" customHeight="1" x14ac:dyDescent="0.25">
      <c r="A54" s="1254"/>
      <c r="B54" s="1254"/>
      <c r="C54" s="1254"/>
      <c r="D54" s="1254"/>
      <c r="E54" s="1254"/>
      <c r="F54" s="1254"/>
      <c r="G54" s="1241"/>
      <c r="H54" s="1255"/>
      <c r="I54" s="1255"/>
      <c r="J54" s="1256"/>
      <c r="K54" s="1257"/>
      <c r="L54" s="1258"/>
    </row>
    <row r="55" spans="1:12" s="1271" customFormat="1" ht="15" customHeight="1" x14ac:dyDescent="0.25">
      <c r="A55" s="1707" t="s">
        <v>448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253">
        <f>ROUND(L35+L44+L53,4)</f>
        <v>240.99959999999999</v>
      </c>
    </row>
    <row r="56" spans="1:12" s="1271" customFormat="1" ht="15" customHeight="1" x14ac:dyDescent="0.25">
      <c r="A56" s="1716" t="s">
        <v>449</v>
      </c>
      <c r="B56" s="1716"/>
      <c r="C56" s="1716"/>
      <c r="D56" s="1716"/>
      <c r="E56" s="1716"/>
      <c r="F56" s="1716"/>
      <c r="G56" s="1716"/>
      <c r="H56" s="1716"/>
      <c r="I56" s="1716"/>
      <c r="J56" s="1716"/>
      <c r="K56" s="1259">
        <f>[1]LDI!I34</f>
        <v>0.25569999999999998</v>
      </c>
      <c r="L56" s="1298">
        <f>ROUND(L55*K56,4)</f>
        <v>61.623600000000003</v>
      </c>
    </row>
    <row r="57" spans="1:12" s="1271" customFormat="1" ht="20.100000000000001" customHeight="1" x14ac:dyDescent="0.25">
      <c r="A57" s="1704" t="s">
        <v>450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260">
        <f>ROUND(L55+L56,2)</f>
        <v>302.62</v>
      </c>
    </row>
    <row r="58" spans="1:12" s="1271" customFormat="1" ht="3" customHeight="1" x14ac:dyDescent="0.25">
      <c r="A58" s="1261"/>
      <c r="B58" s="1261"/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</row>
    <row r="59" spans="1:12" s="1271" customFormat="1" ht="21.75" customHeight="1" x14ac:dyDescent="0.25">
      <c r="A59" s="1262" t="s">
        <v>451</v>
      </c>
      <c r="B59" s="1263"/>
      <c r="C59" s="1717" t="s">
        <v>575</v>
      </c>
      <c r="D59" s="1717"/>
      <c r="E59" s="1717"/>
      <c r="F59" s="1717"/>
      <c r="G59" s="1717"/>
      <c r="H59" s="1717"/>
      <c r="I59" s="1717"/>
      <c r="J59" s="1717"/>
      <c r="K59" s="1717"/>
      <c r="L59" s="1717"/>
    </row>
    <row r="60" spans="1:12" s="1271" customFormat="1" ht="20.25" customHeight="1" x14ac:dyDescent="0.25">
      <c r="A60" s="1264"/>
      <c r="B60" s="1265"/>
      <c r="C60" s="1701" t="s">
        <v>576</v>
      </c>
      <c r="D60" s="1701"/>
      <c r="E60" s="1701"/>
      <c r="F60" s="1701"/>
      <c r="G60" s="1701"/>
      <c r="H60" s="1701"/>
      <c r="I60" s="1701"/>
      <c r="J60" s="1701"/>
      <c r="K60" s="1701"/>
      <c r="L60" s="1701"/>
    </row>
    <row r="61" spans="1:12" s="1271" customFormat="1" ht="3.7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9">
    <mergeCell ref="C59:L59"/>
    <mergeCell ref="C60:L60"/>
    <mergeCell ref="L49:L50"/>
    <mergeCell ref="D51:F51"/>
    <mergeCell ref="A53:K53"/>
    <mergeCell ref="A55:K55"/>
    <mergeCell ref="A56:J56"/>
    <mergeCell ref="A57:K57"/>
    <mergeCell ref="A46:F48"/>
    <mergeCell ref="G46:G48"/>
    <mergeCell ref="H46:K46"/>
    <mergeCell ref="L46:L48"/>
    <mergeCell ref="A49:A50"/>
    <mergeCell ref="B49:B50"/>
    <mergeCell ref="C49:C50"/>
    <mergeCell ref="D49:E50"/>
    <mergeCell ref="F49:F50"/>
    <mergeCell ref="G49:G50"/>
    <mergeCell ref="A44:K45"/>
    <mergeCell ref="D39:G39"/>
    <mergeCell ref="H39:I39"/>
    <mergeCell ref="A40:B40"/>
    <mergeCell ref="D40:G40"/>
    <mergeCell ref="H40:I40"/>
    <mergeCell ref="A41:B41"/>
    <mergeCell ref="D41:G41"/>
    <mergeCell ref="H41:I41"/>
    <mergeCell ref="A42:B42"/>
    <mergeCell ref="D42:G42"/>
    <mergeCell ref="H42:I42"/>
    <mergeCell ref="D43:G43"/>
    <mergeCell ref="H43:I43"/>
    <mergeCell ref="A28:K28"/>
    <mergeCell ref="A35:H35"/>
    <mergeCell ref="I35:K35"/>
    <mergeCell ref="A37:G38"/>
    <mergeCell ref="H37:I38"/>
    <mergeCell ref="J37:J38"/>
    <mergeCell ref="D26:I26"/>
    <mergeCell ref="A8:L8"/>
    <mergeCell ref="A9:D9"/>
    <mergeCell ref="E9:L9"/>
    <mergeCell ref="A12:L13"/>
    <mergeCell ref="E15:J15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6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65536"/>
  <sheetViews>
    <sheetView view="pageBreakPreview" zoomScale="90" zoomScaleNormal="80" zoomScaleSheetLayoutView="9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'6.1'!A3:K3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'6.1'!A4:K4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199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3.7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6.7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199</v>
      </c>
      <c r="E15" s="1695" t="s">
        <v>577</v>
      </c>
      <c r="F15" s="1695"/>
      <c r="G15" s="1695"/>
      <c r="H15" s="1695"/>
      <c r="I15" s="1695"/>
      <c r="J15" s="1695"/>
      <c r="K15" s="1189" t="s">
        <v>417</v>
      </c>
      <c r="L15" s="1190" t="s">
        <v>136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6.4" customHeight="1" x14ac:dyDescent="0.25">
      <c r="A19" s="1195" t="str">
        <f>'[1]Composições - Equipamentos'!A62</f>
        <v>DNIT –</v>
      </c>
      <c r="B19" s="1284" t="str">
        <f>'[1]Composições - Equipamentos'!B62</f>
        <v>E9686</v>
      </c>
      <c r="C19" s="1197" t="s">
        <v>434</v>
      </c>
      <c r="D19" s="1719" t="str">
        <f>'[1]Composições - Equipamentos'!C62</f>
        <v>Caminhão carroceria com guindauto com capacidade de 20 t.m - 136 kW</v>
      </c>
      <c r="E19" s="1719"/>
      <c r="F19" s="1719"/>
      <c r="G19" s="1199">
        <v>1</v>
      </c>
      <c r="H19" s="1200">
        <v>1</v>
      </c>
      <c r="I19" s="1201">
        <v>0</v>
      </c>
      <c r="J19" s="1289">
        <f>'[1]Composições - Equipamentos'!S62</f>
        <v>198.30850000000001</v>
      </c>
      <c r="K19" s="1289">
        <f>'[1]Composições - Equipamentos'!T62</f>
        <v>85.256</v>
      </c>
      <c r="L19" s="1289">
        <f t="shared" ref="L19:L20" si="0">ROUND((G19*H19*J19)+(G19*I19*K19),4)</f>
        <v>198.30850000000001</v>
      </c>
    </row>
    <row r="20" spans="1:14" s="1271" customFormat="1" ht="10.5" customHeight="1" x14ac:dyDescent="0.25">
      <c r="A20" s="1203"/>
      <c r="B20" s="1333"/>
      <c r="C20" s="1197"/>
      <c r="D20" s="1204"/>
      <c r="E20" s="1204"/>
      <c r="F20" s="1204"/>
      <c r="G20" s="1205"/>
      <c r="H20" s="1200"/>
      <c r="I20" s="1201"/>
      <c r="J20" s="1291"/>
      <c r="K20" s="129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92">
        <f>ROUND(SUM(L19:L20),4)</f>
        <v>198.30850000000001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195" t="str">
        <f>'[1]Atualização de custos unitarios'!A81</f>
        <v>DNIT –</v>
      </c>
      <c r="B25" s="1212" t="str">
        <f>'[1]Atualização de custos unitarios'!B81</f>
        <v>P9821</v>
      </c>
      <c r="C25" s="1197" t="s">
        <v>434</v>
      </c>
      <c r="D25" s="1204" t="str">
        <f>'[1]Atualização de custos unitarios'!C81</f>
        <v>Pedreiro</v>
      </c>
      <c r="E25" s="1204"/>
      <c r="F25" s="1204"/>
      <c r="G25" s="1204"/>
      <c r="H25" s="1204"/>
      <c r="I25" s="1198"/>
      <c r="J25" s="1213">
        <v>1</v>
      </c>
      <c r="K25" s="1252">
        <f>'1.1'!G97</f>
        <v>19.101600000000001</v>
      </c>
      <c r="L25" s="1293">
        <f t="shared" ref="L25:L27" si="1">ROUND(J25*K25,4)</f>
        <v>19.101600000000001</v>
      </c>
      <c r="N25" s="1274"/>
    </row>
    <row r="26" spans="1:14" s="1271" customFormat="1" ht="14.1" customHeight="1" x14ac:dyDescent="0.25">
      <c r="A26" s="1318" t="str">
        <f>'[1]Atualização de custos unitarios'!A84</f>
        <v>DNIT –</v>
      </c>
      <c r="B26" s="1319" t="str">
        <f>'[1]Atualização de custos unitarios'!B84</f>
        <v>P9824</v>
      </c>
      <c r="C26" s="1197" t="s">
        <v>434</v>
      </c>
      <c r="D26" s="1699" t="str">
        <f>'[1]Atualização de custos unitarios'!C84</f>
        <v>Servente</v>
      </c>
      <c r="E26" s="1699"/>
      <c r="F26" s="1699"/>
      <c r="G26" s="1699"/>
      <c r="H26" s="1699"/>
      <c r="I26" s="1699"/>
      <c r="J26" s="1213">
        <v>3</v>
      </c>
      <c r="K26" s="1252">
        <f>'1.1'!G100</f>
        <v>14.981199999999999</v>
      </c>
      <c r="L26" s="1293">
        <f t="shared" si="1"/>
        <v>44.943600000000004</v>
      </c>
    </row>
    <row r="27" spans="1:14" s="1271" customFormat="1" ht="9.75" customHeight="1" x14ac:dyDescent="0.25">
      <c r="A27" s="1216"/>
      <c r="B27" s="1217"/>
      <c r="C27" s="1217"/>
      <c r="D27" s="1217"/>
      <c r="E27" s="1217"/>
      <c r="F27" s="1217"/>
      <c r="G27" s="1173"/>
      <c r="H27" s="1193"/>
      <c r="I27" s="1218"/>
      <c r="J27" s="1219"/>
      <c r="K27" s="1252"/>
      <c r="L27" s="1293">
        <f t="shared" si="1"/>
        <v>0</v>
      </c>
    </row>
    <row r="28" spans="1:14" s="1271" customFormat="1" ht="9.4499999999999993" customHeight="1" x14ac:dyDescent="0.25">
      <c r="A28" s="1702" t="s">
        <v>478</v>
      </c>
      <c r="B28" s="1702"/>
      <c r="C28" s="1702"/>
      <c r="D28" s="1702"/>
      <c r="E28" s="1702"/>
      <c r="F28" s="1702"/>
      <c r="G28" s="1702"/>
      <c r="H28" s="1702"/>
      <c r="I28" s="1702"/>
      <c r="J28" s="1702"/>
      <c r="K28" s="1702"/>
      <c r="L28" s="1292">
        <f>ROUND(SUM(L25:L27),4)</f>
        <v>64.045199999999994</v>
      </c>
    </row>
    <row r="29" spans="1:14" s="1272" customFormat="1" ht="3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10"/>
      <c r="L29" s="1295"/>
    </row>
    <row r="30" spans="1:14" s="1272" customFormat="1" ht="14.1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20" t="s">
        <v>479</v>
      </c>
      <c r="L30" s="1294">
        <f>L21+L28</f>
        <v>262.3537</v>
      </c>
    </row>
    <row r="31" spans="1:14" s="1272" customFormat="1" ht="14.1" customHeight="1" x14ac:dyDescent="0.25">
      <c r="A31" s="1222" t="s">
        <v>480</v>
      </c>
      <c r="B31" s="1209"/>
      <c r="C31" s="1209"/>
      <c r="D31" s="1209"/>
      <c r="E31" s="1209"/>
      <c r="F31" s="1223">
        <v>3.1120000000000001</v>
      </c>
      <c r="G31" s="1276" t="str">
        <f>L15</f>
        <v>m</v>
      </c>
      <c r="H31" s="1222"/>
      <c r="I31" s="1209"/>
      <c r="J31" s="1225"/>
      <c r="K31" s="1226" t="s">
        <v>481</v>
      </c>
      <c r="L31" s="1292">
        <f>ROUND(L30/F31,4)</f>
        <v>84.303899999999999</v>
      </c>
    </row>
    <row r="32" spans="1:14" s="1272" customFormat="1" ht="14.1" customHeight="1" x14ac:dyDescent="0.25">
      <c r="A32" s="1222"/>
      <c r="B32" s="1209" t="s">
        <v>482</v>
      </c>
      <c r="C32" s="1209"/>
      <c r="D32" s="1209"/>
      <c r="E32" s="1209"/>
      <c r="F32" s="1223"/>
      <c r="G32" s="1224"/>
      <c r="H32" s="1222"/>
      <c r="I32" s="1209"/>
      <c r="J32" s="1225"/>
      <c r="K32" s="1220" t="s">
        <v>483</v>
      </c>
      <c r="L32" s="1292">
        <f>ROUND(L31*F32,4)</f>
        <v>0</v>
      </c>
    </row>
    <row r="33" spans="1:14" s="1272" customFormat="1" ht="14.1" customHeight="1" x14ac:dyDescent="0.25">
      <c r="A33" s="1222"/>
      <c r="B33" s="1209" t="s">
        <v>484</v>
      </c>
      <c r="C33" s="1209"/>
      <c r="D33" s="1209"/>
      <c r="E33" s="1209"/>
      <c r="F33" s="1227"/>
      <c r="G33" s="1224"/>
      <c r="H33" s="1225"/>
      <c r="I33" s="1228"/>
      <c r="J33" s="1210"/>
      <c r="K33" s="1220" t="s">
        <v>485</v>
      </c>
      <c r="L33" s="1292">
        <f>ROUND(L31*F33,4)</f>
        <v>0</v>
      </c>
    </row>
    <row r="34" spans="1:14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95"/>
    </row>
    <row r="35" spans="1:14" s="1271" customFormat="1" ht="14.1" customHeight="1" x14ac:dyDescent="0.25">
      <c r="A35" s="1696" t="s">
        <v>486</v>
      </c>
      <c r="B35" s="1696"/>
      <c r="C35" s="1696"/>
      <c r="D35" s="1696"/>
      <c r="E35" s="1696"/>
      <c r="F35" s="1696"/>
      <c r="G35" s="1696"/>
      <c r="H35" s="1696"/>
      <c r="I35" s="1704" t="s">
        <v>487</v>
      </c>
      <c r="J35" s="1704"/>
      <c r="K35" s="1704"/>
      <c r="L35" s="1296">
        <f>ROUND(SUM(L31:L34),4)</f>
        <v>84.303899999999999</v>
      </c>
    </row>
    <row r="36" spans="1:14" s="1272" customFormat="1" ht="3" customHeight="1" x14ac:dyDescent="0.25">
      <c r="A36" s="710"/>
      <c r="B36" s="710"/>
      <c r="C36" s="710"/>
      <c r="D36" s="710"/>
      <c r="E36" s="710"/>
      <c r="F36" s="710"/>
      <c r="G36" s="1231"/>
      <c r="H36" s="1231"/>
      <c r="I36" s="1232"/>
      <c r="J36" s="1232"/>
      <c r="K36" s="1232"/>
      <c r="L36" s="710"/>
    </row>
    <row r="37" spans="1:14" s="1271" customFormat="1" ht="14.1" customHeight="1" x14ac:dyDescent="0.25">
      <c r="A37" s="1696" t="s">
        <v>488</v>
      </c>
      <c r="B37" s="1696"/>
      <c r="C37" s="1696"/>
      <c r="D37" s="1696"/>
      <c r="E37" s="1696"/>
      <c r="F37" s="1696"/>
      <c r="G37" s="1696"/>
      <c r="H37" s="1697" t="s">
        <v>164</v>
      </c>
      <c r="I37" s="1697"/>
      <c r="J37" s="1697" t="s">
        <v>163</v>
      </c>
      <c r="K37" s="1192" t="s">
        <v>489</v>
      </c>
      <c r="L37" s="1192" t="s">
        <v>472</v>
      </c>
    </row>
    <row r="38" spans="1:14" s="1271" customFormat="1" ht="14.1" customHeight="1" x14ac:dyDescent="0.25">
      <c r="A38" s="1696"/>
      <c r="B38" s="1696"/>
      <c r="C38" s="1696"/>
      <c r="D38" s="1696"/>
      <c r="E38" s="1696"/>
      <c r="F38" s="1696"/>
      <c r="G38" s="1696"/>
      <c r="H38" s="1697"/>
      <c r="I38" s="1697"/>
      <c r="J38" s="1697"/>
      <c r="K38" s="1233" t="s">
        <v>490</v>
      </c>
      <c r="L38" s="1194" t="s">
        <v>490</v>
      </c>
      <c r="N38" s="1271">
        <v>0.4</v>
      </c>
    </row>
    <row r="39" spans="1:14" s="1271" customFormat="1" ht="14.1" customHeight="1" x14ac:dyDescent="0.25">
      <c r="A39" s="1334" t="str">
        <f>'[1]Atualização de custos unitarios'!A171</f>
        <v>DNIT –</v>
      </c>
      <c r="B39" s="1335" t="str">
        <f>'[1]Atualização de custos unitarios'!B171</f>
        <v>M2175</v>
      </c>
      <c r="C39" s="1255" t="s">
        <v>434</v>
      </c>
      <c r="D39" s="1722" t="str">
        <f>'[1]Atualização de custos unitarios'!C171</f>
        <v>Tubo de concreto armado PA 1 - D = 1,00 m</v>
      </c>
      <c r="E39" s="1722"/>
      <c r="F39" s="1722"/>
      <c r="G39" s="1722"/>
      <c r="H39" s="1705">
        <v>1</v>
      </c>
      <c r="I39" s="1705"/>
      <c r="J39" s="1336" t="str">
        <f>'[1]Atualização de custos unitarios'!D171</f>
        <v>m</v>
      </c>
      <c r="K39" s="1337">
        <v>230.1362</v>
      </c>
      <c r="L39" s="1297">
        <f t="shared" ref="L39:L43" si="2">ROUND(H39*K39,4)</f>
        <v>230.1362</v>
      </c>
      <c r="N39" s="1783">
        <f>K39-N38</f>
        <v>229.7362</v>
      </c>
    </row>
    <row r="40" spans="1:14" s="1271" customFormat="1" ht="24.9" customHeight="1" x14ac:dyDescent="0.25">
      <c r="A40" s="1733" t="str">
        <f>CONCATENATE('[1]A004-Forma.Comum'!L6," ",'[1]A004-Forma.Comum'!L7)</f>
        <v>INCRA A 004</v>
      </c>
      <c r="B40" s="1733"/>
      <c r="C40" s="1197" t="s">
        <v>434</v>
      </c>
      <c r="D40" s="1701" t="str">
        <f>'[1]A004-Forma.Comum'!E18</f>
        <v>Formas de tábuas de pinho - utilização de 3 vezes - fornecimento, instalação e retirada</v>
      </c>
      <c r="E40" s="1701"/>
      <c r="F40" s="1701"/>
      <c r="G40" s="1701"/>
      <c r="H40" s="1727">
        <f>'[1]Vol. Bueiro100'!H9</f>
        <v>0.3</v>
      </c>
      <c r="I40" s="1727"/>
      <c r="J40" s="1237" t="str">
        <f>'[1]A004-Forma.Comum'!L18</f>
        <v>m²</v>
      </c>
      <c r="K40" s="1252">
        <v>77.47999999999999</v>
      </c>
      <c r="L40" s="1289">
        <f t="shared" si="2"/>
        <v>23.244</v>
      </c>
    </row>
    <row r="41" spans="1:14" s="1271" customFormat="1" ht="14.1" customHeight="1" x14ac:dyDescent="0.25">
      <c r="A41" s="1733" t="str">
        <f>CONCATENATE('[1]A006-Argamassa.1-4'!L6," ",'[1]A006-Argamassa.1-4'!L7)</f>
        <v>INCRA A 006</v>
      </c>
      <c r="B41" s="1733"/>
      <c r="C41" s="1197" t="s">
        <v>434</v>
      </c>
      <c r="D41" s="1699" t="str">
        <f>'[1]A006-Argamassa.1-4'!E18</f>
        <v>Argamassa de cimento e areia 1:4 - areia comercial</v>
      </c>
      <c r="E41" s="1699"/>
      <c r="F41" s="1699"/>
      <c r="G41" s="1699"/>
      <c r="H41" s="1727">
        <v>5.9300000000000004E-3</v>
      </c>
      <c r="I41" s="1727"/>
      <c r="J41" s="1237" t="str">
        <f>'[1]A006-Argamassa.1-4'!L18</f>
        <v>m³</v>
      </c>
      <c r="K41" s="1252">
        <v>355.79</v>
      </c>
      <c r="L41" s="1289">
        <f t="shared" si="2"/>
        <v>2.1097999999999999</v>
      </c>
    </row>
    <row r="42" spans="1:14" s="1271" customFormat="1" ht="24.9" customHeight="1" x14ac:dyDescent="0.25">
      <c r="A42" s="1733" t="str">
        <f>CONCATENATE('[1]A010-Conc.Cicl.20MPa'!L6," ",'[1]A010-Conc.Cicl.20MPa'!L7)</f>
        <v>INCRA A 010</v>
      </c>
      <c r="B42" s="1733"/>
      <c r="C42" s="1197" t="s">
        <v>434</v>
      </c>
      <c r="D42" s="1701" t="str">
        <f>'[1]A010-Conc.Cicl.20MPa'!E18</f>
        <v>Concreto ciclópico fck = 20 MPa - confecção em betoneira e lançamento manual - areia, brita e pedra de mão comerciais</v>
      </c>
      <c r="E42" s="1701"/>
      <c r="F42" s="1701"/>
      <c r="G42" s="1701"/>
      <c r="H42" s="1727">
        <f>'[1]Vol. Bueiro100'!I9</f>
        <v>0.33839999999999998</v>
      </c>
      <c r="I42" s="1727"/>
      <c r="J42" s="1237" t="str">
        <f>'[1]A010-Conc.Cicl.20MPa'!L18</f>
        <v>m³</v>
      </c>
      <c r="K42" s="1252">
        <v>328.53000000000003</v>
      </c>
      <c r="L42" s="1289">
        <f t="shared" si="2"/>
        <v>111.1746</v>
      </c>
    </row>
    <row r="43" spans="1:14" s="1271" customFormat="1" ht="14.1" customHeight="1" x14ac:dyDescent="0.25">
      <c r="A43" s="1338"/>
      <c r="B43" s="1339"/>
      <c r="C43" s="1193"/>
      <c r="D43" s="1739"/>
      <c r="E43" s="1739"/>
      <c r="F43" s="1739"/>
      <c r="G43" s="1739"/>
      <c r="H43" s="1706"/>
      <c r="I43" s="1706"/>
      <c r="J43" s="1340"/>
      <c r="K43" s="1341"/>
      <c r="L43" s="1291">
        <f t="shared" si="2"/>
        <v>0</v>
      </c>
    </row>
    <row r="44" spans="1:14" s="1271" customFormat="1" ht="14.1" customHeight="1" x14ac:dyDescent="0.25">
      <c r="A44" s="1738" t="s">
        <v>491</v>
      </c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98">
        <f>ROUND(SUM(L39:L43),4)</f>
        <v>366.66460000000001</v>
      </c>
    </row>
    <row r="45" spans="1:14" s="1272" customFormat="1" ht="9.4499999999999993" customHeight="1" x14ac:dyDescent="0.25">
      <c r="A45" s="1738"/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243"/>
    </row>
    <row r="46" spans="1:14" s="1271" customFormat="1" ht="14.1" customHeight="1" x14ac:dyDescent="0.25">
      <c r="A46" s="1696" t="s">
        <v>492</v>
      </c>
      <c r="B46" s="1696"/>
      <c r="C46" s="1696"/>
      <c r="D46" s="1696"/>
      <c r="E46" s="1696"/>
      <c r="F46" s="1696"/>
      <c r="G46" s="1703" t="s">
        <v>493</v>
      </c>
      <c r="H46" s="1697" t="s">
        <v>494</v>
      </c>
      <c r="I46" s="1697"/>
      <c r="J46" s="1697"/>
      <c r="K46" s="1697"/>
      <c r="L46" s="1697" t="s">
        <v>495</v>
      </c>
    </row>
    <row r="47" spans="1:14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211" t="s">
        <v>110</v>
      </c>
      <c r="I47" s="1218" t="s">
        <v>302</v>
      </c>
      <c r="J47" s="1194" t="s">
        <v>305</v>
      </c>
      <c r="K47" s="1233" t="s">
        <v>307</v>
      </c>
      <c r="L47" s="1697"/>
    </row>
    <row r="48" spans="1:14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191" t="s">
        <v>496</v>
      </c>
      <c r="I48" s="1244"/>
      <c r="J48" s="1244"/>
      <c r="K48" s="1244"/>
      <c r="L48" s="1697"/>
    </row>
    <row r="49" spans="1:12" s="1271" customFormat="1" ht="14.1" customHeight="1" x14ac:dyDescent="0.25">
      <c r="A49" s="1740" t="str">
        <f>A39</f>
        <v>DNIT –</v>
      </c>
      <c r="B49" s="1710" t="str">
        <f>B39</f>
        <v>M2175</v>
      </c>
      <c r="C49" s="1711" t="s">
        <v>434</v>
      </c>
      <c r="D49" s="1712" t="str">
        <f>D39</f>
        <v>Tubo de concreto armado PA 1 - D = 1,00 m</v>
      </c>
      <c r="E49" s="1712"/>
      <c r="F49" s="1713" t="s">
        <v>574</v>
      </c>
      <c r="G49" s="1714">
        <f>ROUND(770/1000,5)</f>
        <v>0.77</v>
      </c>
      <c r="H49" s="1245" t="s">
        <v>497</v>
      </c>
      <c r="I49" s="1246">
        <f>'[1]Composições - Transportes'!B26</f>
        <v>5914584</v>
      </c>
      <c r="J49" s="1246">
        <f>'[1]Composições - Transportes'!B27</f>
        <v>5914599</v>
      </c>
      <c r="K49" s="1246">
        <f>'[1]Composições - Transportes'!B28</f>
        <v>5914614</v>
      </c>
      <c r="L49" s="1715">
        <f>ROUND(G49*($I$48*I50+$J$48*J50+$K$48*K50),4)</f>
        <v>0</v>
      </c>
    </row>
    <row r="50" spans="1:12" s="1271" customFormat="1" ht="14.1" customHeight="1" x14ac:dyDescent="0.25">
      <c r="A50" s="1740"/>
      <c r="B50" s="1710"/>
      <c r="C50" s="1711"/>
      <c r="D50" s="1712"/>
      <c r="E50" s="1712"/>
      <c r="F50" s="1713"/>
      <c r="G50" s="1714"/>
      <c r="H50" s="1247" t="s">
        <v>498</v>
      </c>
      <c r="I50" s="1248">
        <f>'[1]Composições - Transportes'!S26</f>
        <v>1.79</v>
      </c>
      <c r="J50" s="1248">
        <f>'[1]Composições - Transportes'!S27</f>
        <v>1.43</v>
      </c>
      <c r="K50" s="1248">
        <f>'[1]Composições - Transportes'!S28</f>
        <v>1.1399999999999999</v>
      </c>
      <c r="L50" s="1715"/>
    </row>
    <row r="51" spans="1:12" s="1271" customFormat="1" ht="3" customHeight="1" x14ac:dyDescent="0.25">
      <c r="A51" s="1318"/>
      <c r="B51" s="1319"/>
      <c r="C51" s="1197"/>
      <c r="D51" s="1701"/>
      <c r="E51" s="1701"/>
      <c r="F51" s="1701"/>
      <c r="G51" s="1199"/>
      <c r="H51" s="1342"/>
      <c r="I51" s="1342"/>
      <c r="J51" s="1251"/>
      <c r="K51" s="1343"/>
      <c r="L51" s="1289"/>
    </row>
    <row r="52" spans="1:12" s="1271" customFormat="1" ht="7.5" customHeight="1" x14ac:dyDescent="0.25">
      <c r="A52" s="1216"/>
      <c r="B52" s="1204"/>
      <c r="C52" s="1197"/>
      <c r="D52" s="1217"/>
      <c r="E52" s="1217"/>
      <c r="F52" s="1217"/>
      <c r="G52" s="1205"/>
      <c r="H52" s="1344"/>
      <c r="I52" s="1344"/>
      <c r="J52" s="1251"/>
      <c r="K52" s="1345"/>
      <c r="L52" s="1289"/>
    </row>
    <row r="53" spans="1:12" s="1271" customFormat="1" ht="14.1" customHeight="1" x14ac:dyDescent="0.25">
      <c r="A53" s="1707" t="s">
        <v>499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98">
        <f>ROUND(SUM(L49:L52),4)</f>
        <v>0</v>
      </c>
    </row>
    <row r="54" spans="1:12" s="1271" customFormat="1" ht="3" customHeight="1" x14ac:dyDescent="0.25">
      <c r="A54" s="1254"/>
      <c r="B54" s="1254"/>
      <c r="C54" s="1254"/>
      <c r="D54" s="1254"/>
      <c r="E54" s="1254"/>
      <c r="F54" s="1254"/>
      <c r="G54" s="1241"/>
      <c r="H54" s="1255"/>
      <c r="I54" s="1255"/>
      <c r="J54" s="1256"/>
      <c r="K54" s="1257"/>
      <c r="L54" s="1258"/>
    </row>
    <row r="55" spans="1:12" s="1271" customFormat="1" ht="15" customHeight="1" x14ac:dyDescent="0.25">
      <c r="A55" s="1707" t="s">
        <v>448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298">
        <f>ROUND(L35+L44+L53,4)</f>
        <v>450.96850000000001</v>
      </c>
    </row>
    <row r="56" spans="1:12" s="1271" customFormat="1" ht="15" customHeight="1" x14ac:dyDescent="0.25">
      <c r="A56" s="1716" t="s">
        <v>449</v>
      </c>
      <c r="B56" s="1716"/>
      <c r="C56" s="1716"/>
      <c r="D56" s="1716"/>
      <c r="E56" s="1716"/>
      <c r="F56" s="1716"/>
      <c r="G56" s="1716"/>
      <c r="H56" s="1716"/>
      <c r="I56" s="1716"/>
      <c r="J56" s="1716"/>
      <c r="K56" s="1259">
        <f>[1]LDI!I34</f>
        <v>0.25569999999999998</v>
      </c>
      <c r="L56" s="1298">
        <f>ROUND(L55*K56,4)</f>
        <v>115.3126</v>
      </c>
    </row>
    <row r="57" spans="1:12" s="1271" customFormat="1" ht="20.100000000000001" customHeight="1" x14ac:dyDescent="0.25">
      <c r="A57" s="1704" t="s">
        <v>450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260">
        <f>ROUND(L55+L56,2)</f>
        <v>566.28</v>
      </c>
    </row>
    <row r="58" spans="1:12" s="1271" customFormat="1" ht="3" customHeight="1" x14ac:dyDescent="0.25">
      <c r="A58" s="1261"/>
      <c r="B58" s="1261"/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</row>
    <row r="59" spans="1:12" s="1271" customFormat="1" ht="21.75" customHeight="1" x14ac:dyDescent="0.25">
      <c r="A59" s="1262" t="s">
        <v>451</v>
      </c>
      <c r="B59" s="1263"/>
      <c r="C59" s="1717" t="s">
        <v>578</v>
      </c>
      <c r="D59" s="1717"/>
      <c r="E59" s="1717"/>
      <c r="F59" s="1717"/>
      <c r="G59" s="1717"/>
      <c r="H59" s="1717"/>
      <c r="I59" s="1717"/>
      <c r="J59" s="1717"/>
      <c r="K59" s="1717"/>
      <c r="L59" s="1717"/>
    </row>
    <row r="60" spans="1:12" s="1271" customFormat="1" ht="20.25" customHeight="1" x14ac:dyDescent="0.25">
      <c r="A60" s="1264"/>
      <c r="B60" s="1265"/>
      <c r="C60" s="1701" t="s">
        <v>576</v>
      </c>
      <c r="D60" s="1701"/>
      <c r="E60" s="1701"/>
      <c r="F60" s="1701"/>
      <c r="G60" s="1701"/>
      <c r="H60" s="1701"/>
      <c r="I60" s="1701"/>
      <c r="J60" s="1701"/>
      <c r="K60" s="1701"/>
      <c r="L60" s="1701"/>
    </row>
    <row r="61" spans="1:12" s="1271" customFormat="1" ht="5.2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9">
    <mergeCell ref="C59:L59"/>
    <mergeCell ref="C60:L60"/>
    <mergeCell ref="L49:L50"/>
    <mergeCell ref="D51:F51"/>
    <mergeCell ref="A53:K53"/>
    <mergeCell ref="A55:K55"/>
    <mergeCell ref="A56:J56"/>
    <mergeCell ref="A57:K57"/>
    <mergeCell ref="A46:F48"/>
    <mergeCell ref="G46:G48"/>
    <mergeCell ref="H46:K46"/>
    <mergeCell ref="L46:L48"/>
    <mergeCell ref="A49:A50"/>
    <mergeCell ref="B49:B50"/>
    <mergeCell ref="C49:C50"/>
    <mergeCell ref="D49:E50"/>
    <mergeCell ref="F49:F50"/>
    <mergeCell ref="G49:G50"/>
    <mergeCell ref="A44:K45"/>
    <mergeCell ref="D39:G39"/>
    <mergeCell ref="H39:I39"/>
    <mergeCell ref="A40:B40"/>
    <mergeCell ref="D40:G40"/>
    <mergeCell ref="H40:I40"/>
    <mergeCell ref="A41:B41"/>
    <mergeCell ref="D41:G41"/>
    <mergeCell ref="H41:I41"/>
    <mergeCell ref="A42:B42"/>
    <mergeCell ref="D42:G42"/>
    <mergeCell ref="H42:I42"/>
    <mergeCell ref="D43:G43"/>
    <mergeCell ref="H43:I43"/>
    <mergeCell ref="A28:K28"/>
    <mergeCell ref="A35:H35"/>
    <mergeCell ref="I35:K35"/>
    <mergeCell ref="A37:G38"/>
    <mergeCell ref="H37:I38"/>
    <mergeCell ref="J37:J38"/>
    <mergeCell ref="D26:I26"/>
    <mergeCell ref="A8:L8"/>
    <mergeCell ref="A9:D9"/>
    <mergeCell ref="E9:L9"/>
    <mergeCell ref="A12:L13"/>
    <mergeCell ref="E15:J15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7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'6.2'!A3:K3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'6.2'!A4:K4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4.1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200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6.7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200</v>
      </c>
      <c r="E15" s="1695" t="s">
        <v>579</v>
      </c>
      <c r="F15" s="1695"/>
      <c r="G15" s="1695"/>
      <c r="H15" s="1695"/>
      <c r="I15" s="1695"/>
      <c r="J15" s="1695"/>
      <c r="K15" s="1189" t="s">
        <v>417</v>
      </c>
      <c r="L15" s="1190" t="s">
        <v>136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6.4" customHeight="1" x14ac:dyDescent="0.25">
      <c r="A19" s="1195" t="str">
        <f>'[1]Composições - Equipamentos'!A62</f>
        <v>DNIT –</v>
      </c>
      <c r="B19" s="1284" t="str">
        <f>'[1]Composições - Equipamentos'!B62</f>
        <v>E9686</v>
      </c>
      <c r="C19" s="1197" t="s">
        <v>434</v>
      </c>
      <c r="D19" s="1719" t="str">
        <f>'[1]Composições - Equipamentos'!C62</f>
        <v>Caminhão carroceria com guindauto com capacidade de 20 t.m - 136 kW</v>
      </c>
      <c r="E19" s="1719"/>
      <c r="F19" s="1719"/>
      <c r="G19" s="1199">
        <v>1</v>
      </c>
      <c r="H19" s="1200">
        <v>1</v>
      </c>
      <c r="I19" s="1201">
        <v>0</v>
      </c>
      <c r="J19" s="1289">
        <f>'[1]Composições - Equipamentos'!S62</f>
        <v>198.30850000000001</v>
      </c>
      <c r="K19" s="1289">
        <f>'[1]Composições - Equipamentos'!T62</f>
        <v>85.256</v>
      </c>
      <c r="L19" s="1289">
        <f t="shared" ref="L19:L20" si="0">ROUND((G19*H19*J19)+(G19*I19*K19),4)</f>
        <v>198.30850000000001</v>
      </c>
    </row>
    <row r="20" spans="1:14" s="1271" customFormat="1" ht="14.1" customHeight="1" x14ac:dyDescent="0.25">
      <c r="A20" s="1203"/>
      <c r="B20" s="1333"/>
      <c r="C20" s="1197"/>
      <c r="D20" s="1204"/>
      <c r="E20" s="1204"/>
      <c r="F20" s="1204"/>
      <c r="G20" s="1205"/>
      <c r="H20" s="1200"/>
      <c r="I20" s="1201"/>
      <c r="J20" s="1291"/>
      <c r="K20" s="129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92">
        <f>ROUND(SUM(L19:L20),4)</f>
        <v>198.30850000000001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195" t="str">
        <f>'[1]Atualização de custos unitarios'!A81</f>
        <v>DNIT –</v>
      </c>
      <c r="B25" s="1212" t="str">
        <f>'[1]Atualização de custos unitarios'!B81</f>
        <v>P9821</v>
      </c>
      <c r="C25" s="1197" t="s">
        <v>434</v>
      </c>
      <c r="D25" s="1204" t="str">
        <f>'[1]Atualização de custos unitarios'!C81</f>
        <v>Pedreiro</v>
      </c>
      <c r="E25" s="1204"/>
      <c r="F25" s="1204"/>
      <c r="G25" s="1204"/>
      <c r="H25" s="1204"/>
      <c r="I25" s="1198"/>
      <c r="J25" s="1213">
        <v>1</v>
      </c>
      <c r="K25" s="1252">
        <f>'1.1'!G97</f>
        <v>19.101600000000001</v>
      </c>
      <c r="L25" s="1293">
        <f t="shared" ref="L25:L27" si="1">ROUND(J25*K25,4)</f>
        <v>19.101600000000001</v>
      </c>
      <c r="N25" s="1274"/>
    </row>
    <row r="26" spans="1:14" s="1271" customFormat="1" ht="14.1" customHeight="1" x14ac:dyDescent="0.25">
      <c r="A26" s="1318" t="str">
        <f>'[1]Atualização de custos unitarios'!A84</f>
        <v>DNIT –</v>
      </c>
      <c r="B26" s="1319" t="str">
        <f>'[1]Atualização de custos unitarios'!B84</f>
        <v>P9824</v>
      </c>
      <c r="C26" s="1197" t="s">
        <v>434</v>
      </c>
      <c r="D26" s="1699" t="str">
        <f>'[1]Atualização de custos unitarios'!C84</f>
        <v>Servente</v>
      </c>
      <c r="E26" s="1699"/>
      <c r="F26" s="1699"/>
      <c r="G26" s="1699"/>
      <c r="H26" s="1699"/>
      <c r="I26" s="1699"/>
      <c r="J26" s="1213">
        <v>3</v>
      </c>
      <c r="K26" s="1252">
        <f>'1.1'!G100</f>
        <v>14.981199999999999</v>
      </c>
      <c r="L26" s="1293">
        <f t="shared" si="1"/>
        <v>44.943600000000004</v>
      </c>
    </row>
    <row r="27" spans="1:14" s="1271" customFormat="1" ht="9.4499999999999993" customHeight="1" x14ac:dyDescent="0.25">
      <c r="A27" s="1216"/>
      <c r="B27" s="1217"/>
      <c r="C27" s="1217"/>
      <c r="D27" s="1217"/>
      <c r="E27" s="1217"/>
      <c r="F27" s="1217"/>
      <c r="G27" s="1173"/>
      <c r="H27" s="1193"/>
      <c r="I27" s="1218"/>
      <c r="J27" s="1219"/>
      <c r="K27" s="1252"/>
      <c r="L27" s="1293">
        <f t="shared" si="1"/>
        <v>0</v>
      </c>
    </row>
    <row r="28" spans="1:14" s="1271" customFormat="1" ht="9.4499999999999993" customHeight="1" x14ac:dyDescent="0.25">
      <c r="A28" s="1702" t="s">
        <v>478</v>
      </c>
      <c r="B28" s="1702"/>
      <c r="C28" s="1702"/>
      <c r="D28" s="1702"/>
      <c r="E28" s="1702"/>
      <c r="F28" s="1702"/>
      <c r="G28" s="1702"/>
      <c r="H28" s="1702"/>
      <c r="I28" s="1702"/>
      <c r="J28" s="1702"/>
      <c r="K28" s="1702"/>
      <c r="L28" s="1292">
        <f>ROUND(SUM(L25:L27),4)</f>
        <v>64.045199999999994</v>
      </c>
    </row>
    <row r="29" spans="1:14" s="1272" customFormat="1" ht="3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10"/>
      <c r="L29" s="1295"/>
    </row>
    <row r="30" spans="1:14" s="1272" customFormat="1" ht="14.1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20" t="s">
        <v>479</v>
      </c>
      <c r="L30" s="1294">
        <f>L21+L28</f>
        <v>262.3537</v>
      </c>
    </row>
    <row r="31" spans="1:14" s="1272" customFormat="1" ht="14.1" customHeight="1" x14ac:dyDescent="0.25">
      <c r="A31" s="1222" t="s">
        <v>480</v>
      </c>
      <c r="B31" s="1209"/>
      <c r="C31" s="1209"/>
      <c r="D31" s="1209"/>
      <c r="E31" s="1209"/>
      <c r="F31" s="1223">
        <f>6.225/2</f>
        <v>3.1124999999999998</v>
      </c>
      <c r="G31" s="1276" t="str">
        <f>L15</f>
        <v>m</v>
      </c>
      <c r="H31" s="1222"/>
      <c r="I31" s="1209"/>
      <c r="J31" s="1225"/>
      <c r="K31" s="1226" t="s">
        <v>481</v>
      </c>
      <c r="L31" s="1208">
        <f>ROUND(L30/F31,4)</f>
        <v>84.290300000000002</v>
      </c>
    </row>
    <row r="32" spans="1:14" s="1272" customFormat="1" ht="14.1" customHeight="1" x14ac:dyDescent="0.25">
      <c r="A32" s="1222"/>
      <c r="B32" s="1209" t="s">
        <v>482</v>
      </c>
      <c r="C32" s="1209"/>
      <c r="D32" s="1209"/>
      <c r="E32" s="1209"/>
      <c r="F32" s="1223"/>
      <c r="G32" s="1224"/>
      <c r="H32" s="1222"/>
      <c r="I32" s="1209"/>
      <c r="J32" s="1225"/>
      <c r="K32" s="1220" t="s">
        <v>483</v>
      </c>
      <c r="L32" s="1208">
        <f>ROUND(L31*F32,4)</f>
        <v>0</v>
      </c>
    </row>
    <row r="33" spans="1:12" s="1272" customFormat="1" ht="14.1" customHeight="1" x14ac:dyDescent="0.25">
      <c r="A33" s="1222"/>
      <c r="B33" s="1209" t="s">
        <v>484</v>
      </c>
      <c r="C33" s="1209"/>
      <c r="D33" s="1209"/>
      <c r="E33" s="1209"/>
      <c r="F33" s="1227"/>
      <c r="G33" s="1224"/>
      <c r="H33" s="1225"/>
      <c r="I33" s="1228"/>
      <c r="J33" s="1210"/>
      <c r="K33" s="1220" t="s">
        <v>485</v>
      </c>
      <c r="L33" s="1292">
        <f>ROUND(L31*F33,4)</f>
        <v>0</v>
      </c>
    </row>
    <row r="34" spans="1:12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95"/>
    </row>
    <row r="35" spans="1:12" s="1271" customFormat="1" ht="14.1" customHeight="1" x14ac:dyDescent="0.25">
      <c r="A35" s="1696" t="s">
        <v>486</v>
      </c>
      <c r="B35" s="1696"/>
      <c r="C35" s="1696"/>
      <c r="D35" s="1696"/>
      <c r="E35" s="1696"/>
      <c r="F35" s="1696"/>
      <c r="G35" s="1696"/>
      <c r="H35" s="1696"/>
      <c r="I35" s="1704" t="s">
        <v>487</v>
      </c>
      <c r="J35" s="1704"/>
      <c r="K35" s="1704"/>
      <c r="L35" s="1296">
        <f>ROUND(SUM(L31:L34),4)</f>
        <v>84.290300000000002</v>
      </c>
    </row>
    <row r="36" spans="1:12" s="1272" customFormat="1" ht="3" customHeight="1" x14ac:dyDescent="0.25">
      <c r="A36" s="710"/>
      <c r="B36" s="710"/>
      <c r="C36" s="710"/>
      <c r="D36" s="710"/>
      <c r="E36" s="710"/>
      <c r="F36" s="710"/>
      <c r="G36" s="1231"/>
      <c r="H36" s="1231"/>
      <c r="I36" s="1232"/>
      <c r="J36" s="1232"/>
      <c r="K36" s="1232"/>
      <c r="L36" s="710"/>
    </row>
    <row r="37" spans="1:12" s="1271" customFormat="1" ht="14.1" customHeight="1" x14ac:dyDescent="0.25">
      <c r="A37" s="1696" t="s">
        <v>488</v>
      </c>
      <c r="B37" s="1696"/>
      <c r="C37" s="1696"/>
      <c r="D37" s="1696"/>
      <c r="E37" s="1696"/>
      <c r="F37" s="1696"/>
      <c r="G37" s="1696"/>
      <c r="H37" s="1697" t="s">
        <v>164</v>
      </c>
      <c r="I37" s="1697"/>
      <c r="J37" s="1697" t="s">
        <v>163</v>
      </c>
      <c r="K37" s="1192" t="s">
        <v>489</v>
      </c>
      <c r="L37" s="1192" t="s">
        <v>472</v>
      </c>
    </row>
    <row r="38" spans="1:12" s="1271" customFormat="1" ht="14.1" customHeight="1" x14ac:dyDescent="0.25">
      <c r="A38" s="1696"/>
      <c r="B38" s="1696"/>
      <c r="C38" s="1696"/>
      <c r="D38" s="1696"/>
      <c r="E38" s="1696"/>
      <c r="F38" s="1696"/>
      <c r="G38" s="1696"/>
      <c r="H38" s="1697"/>
      <c r="I38" s="1697"/>
      <c r="J38" s="1697"/>
      <c r="K38" s="1233" t="s">
        <v>490</v>
      </c>
      <c r="L38" s="1194" t="s">
        <v>490</v>
      </c>
    </row>
    <row r="39" spans="1:12" s="1271" customFormat="1" ht="14.1" customHeight="1" x14ac:dyDescent="0.25">
      <c r="A39" s="1334" t="str">
        <f>'[1]Atualização de custos unitarios'!A169</f>
        <v>DNIT –</v>
      </c>
      <c r="B39" s="1335" t="str">
        <f>'[1]Atualização de custos unitarios'!B169</f>
        <v>M2167</v>
      </c>
      <c r="C39" s="1255" t="s">
        <v>434</v>
      </c>
      <c r="D39" s="1722" t="str">
        <f>'[1]Atualização de custos unitarios'!C169</f>
        <v>Tubo de concreto armado PA 1 - D = 0,60 m</v>
      </c>
      <c r="E39" s="1722"/>
      <c r="F39" s="1722"/>
      <c r="G39" s="1722"/>
      <c r="H39" s="1705">
        <v>2</v>
      </c>
      <c r="I39" s="1705"/>
      <c r="J39" s="1336" t="str">
        <f>'[1]Atualização de custos unitarios'!D169</f>
        <v>m</v>
      </c>
      <c r="K39" s="1337">
        <v>115.14</v>
      </c>
      <c r="L39" s="1297">
        <f t="shared" ref="L39:L44" si="2">ROUND(H39*K39,4)</f>
        <v>230.28</v>
      </c>
    </row>
    <row r="40" spans="1:12" s="1271" customFormat="1" ht="24.9" customHeight="1" x14ac:dyDescent="0.25">
      <c r="A40" s="1733" t="str">
        <f>CONCATENATE('[1]A004-Forma.Comum'!L6," ",'[1]A004-Forma.Comum'!L7)</f>
        <v>INCRA A 004</v>
      </c>
      <c r="B40" s="1733"/>
      <c r="C40" s="1197" t="s">
        <v>434</v>
      </c>
      <c r="D40" s="1701" t="str">
        <f>'[1]A004-Forma.Comum'!E18</f>
        <v>Formas de tábuas de pinho - utilização de 3 vezes - fornecimento, instalação e retirada</v>
      </c>
      <c r="E40" s="1701"/>
      <c r="F40" s="1701"/>
      <c r="G40" s="1701"/>
      <c r="H40" s="1727">
        <f>'[1]Vol. Bueiro60'!H22</f>
        <v>0.4</v>
      </c>
      <c r="I40" s="1727"/>
      <c r="J40" s="1237" t="str">
        <f>'[1]A004-Forma.Comum'!L18</f>
        <v>m²</v>
      </c>
      <c r="K40" s="1252">
        <v>77.47999999999999</v>
      </c>
      <c r="L40" s="1289">
        <f t="shared" si="2"/>
        <v>30.992000000000001</v>
      </c>
    </row>
    <row r="41" spans="1:12" s="1271" customFormat="1" ht="14.1" customHeight="1" x14ac:dyDescent="0.25">
      <c r="A41" s="1733" t="str">
        <f>CONCATENATE('[1]A006-Argamassa.1-4'!L6," ",'[1]A006-Argamassa.1-4'!L7)</f>
        <v>INCRA A 006</v>
      </c>
      <c r="B41" s="1733"/>
      <c r="C41" s="1197" t="s">
        <v>434</v>
      </c>
      <c r="D41" s="1699" t="str">
        <f>'[1]A006-Argamassa.1-4'!E18</f>
        <v>Argamassa de cimento e areia 1:4 - areia comercial</v>
      </c>
      <c r="E41" s="1699"/>
      <c r="F41" s="1699"/>
      <c r="G41" s="1699"/>
      <c r="H41" s="1727">
        <f>0.00349*2</f>
        <v>6.9800000000000001E-3</v>
      </c>
      <c r="I41" s="1727"/>
      <c r="J41" s="1237" t="str">
        <f>'[1]A006-Argamassa.1-4'!L18</f>
        <v>m³</v>
      </c>
      <c r="K41" s="1252">
        <v>355.79</v>
      </c>
      <c r="L41" s="1289">
        <f t="shared" si="2"/>
        <v>2.4834000000000001</v>
      </c>
    </row>
    <row r="42" spans="1:12" s="1271" customFormat="1" ht="24.9" customHeight="1" x14ac:dyDescent="0.25">
      <c r="A42" s="1733" t="str">
        <f>CONCATENATE('[1]A010-Conc.Cicl.20MPa'!L6," ",'[1]A010-Conc.Cicl.20MPa'!L7)</f>
        <v>INCRA A 010</v>
      </c>
      <c r="B42" s="1733"/>
      <c r="C42" s="1197" t="s">
        <v>434</v>
      </c>
      <c r="D42" s="1701" t="str">
        <f>'[1]A010-Conc.Cicl.20MPa'!E18</f>
        <v>Concreto ciclópico fck = 20 MPa - confecção em betoneira e lançamento manual - areia, brita e pedra de mão comerciais</v>
      </c>
      <c r="E42" s="1701"/>
      <c r="F42" s="1701"/>
      <c r="G42" s="1701"/>
      <c r="H42" s="1727">
        <f>'[1]Vol. Bueiro60'!I22</f>
        <v>0.3135</v>
      </c>
      <c r="I42" s="1727"/>
      <c r="J42" s="1237" t="str">
        <f>'[1]A010-Conc.Cicl.20MPa'!L18</f>
        <v>m³</v>
      </c>
      <c r="K42" s="1252">
        <v>328.53000000000003</v>
      </c>
      <c r="L42" s="1289">
        <f t="shared" si="2"/>
        <v>102.99420000000001</v>
      </c>
    </row>
    <row r="43" spans="1:12" s="1271" customFormat="1" ht="14.1" customHeight="1" x14ac:dyDescent="0.25">
      <c r="A43" s="1330"/>
      <c r="B43" s="1346"/>
      <c r="C43" s="1197"/>
      <c r="D43" s="1204"/>
      <c r="E43" s="1204"/>
      <c r="F43" s="1204"/>
      <c r="G43" s="1198"/>
      <c r="H43" s="1347"/>
      <c r="I43" s="1213"/>
      <c r="J43" s="1237"/>
      <c r="K43" s="1252"/>
      <c r="L43" s="1289">
        <f t="shared" si="2"/>
        <v>0</v>
      </c>
    </row>
    <row r="44" spans="1:12" s="1271" customFormat="1" ht="14.1" customHeight="1" x14ac:dyDescent="0.25">
      <c r="A44" s="1338"/>
      <c r="B44" s="1339"/>
      <c r="C44" s="1193"/>
      <c r="D44" s="1739"/>
      <c r="E44" s="1739"/>
      <c r="F44" s="1739"/>
      <c r="G44" s="1739"/>
      <c r="H44" s="1706"/>
      <c r="I44" s="1706"/>
      <c r="J44" s="1340"/>
      <c r="K44" s="1341"/>
      <c r="L44" s="1291">
        <f t="shared" si="2"/>
        <v>0</v>
      </c>
    </row>
    <row r="45" spans="1:12" s="1271" customFormat="1" ht="9.4499999999999993" customHeight="1" x14ac:dyDescent="0.25">
      <c r="A45" s="1738" t="s">
        <v>491</v>
      </c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253">
        <f>ROUND(SUM(L39:L44),4)</f>
        <v>366.74959999999999</v>
      </c>
    </row>
    <row r="46" spans="1:12" s="1272" customFormat="1" ht="3" customHeight="1" x14ac:dyDescent="0.25">
      <c r="A46" s="1738"/>
      <c r="B46" s="1738"/>
      <c r="C46" s="1738"/>
      <c r="D46" s="1738"/>
      <c r="E46" s="1738"/>
      <c r="F46" s="1738"/>
      <c r="G46" s="1738"/>
      <c r="H46" s="1738"/>
      <c r="I46" s="1738"/>
      <c r="J46" s="1738"/>
      <c r="K46" s="1738"/>
      <c r="L46" s="1243"/>
    </row>
    <row r="47" spans="1:12" s="1271" customFormat="1" ht="14.1" customHeight="1" x14ac:dyDescent="0.25">
      <c r="A47" s="1696" t="s">
        <v>492</v>
      </c>
      <c r="B47" s="1696"/>
      <c r="C47" s="1696"/>
      <c r="D47" s="1696"/>
      <c r="E47" s="1696"/>
      <c r="F47" s="1696"/>
      <c r="G47" s="1703" t="s">
        <v>493</v>
      </c>
      <c r="H47" s="1697" t="s">
        <v>494</v>
      </c>
      <c r="I47" s="1697"/>
      <c r="J47" s="1697"/>
      <c r="K47" s="1697"/>
      <c r="L47" s="1697" t="s">
        <v>495</v>
      </c>
    </row>
    <row r="48" spans="1:12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211" t="s">
        <v>110</v>
      </c>
      <c r="I48" s="1218" t="s">
        <v>302</v>
      </c>
      <c r="J48" s="1194" t="s">
        <v>305</v>
      </c>
      <c r="K48" s="1233" t="s">
        <v>307</v>
      </c>
      <c r="L48" s="1697"/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191" t="s">
        <v>496</v>
      </c>
      <c r="I49" s="1244"/>
      <c r="J49" s="1244"/>
      <c r="K49" s="1244"/>
      <c r="L49" s="1697"/>
    </row>
    <row r="50" spans="1:12" s="1271" customFormat="1" ht="14.1" customHeight="1" x14ac:dyDescent="0.25">
      <c r="A50" s="1740" t="str">
        <f>A39</f>
        <v>DNIT –</v>
      </c>
      <c r="B50" s="1710" t="str">
        <f>B39</f>
        <v>M2167</v>
      </c>
      <c r="C50" s="1711" t="s">
        <v>434</v>
      </c>
      <c r="D50" s="1712" t="str">
        <f>D39</f>
        <v>Tubo de concreto armado PA 1 - D = 0,60 m</v>
      </c>
      <c r="E50" s="1712"/>
      <c r="F50" s="1713" t="s">
        <v>574</v>
      </c>
      <c r="G50" s="1714">
        <f>ROUND(339*2/1000,5)</f>
        <v>0.67800000000000005</v>
      </c>
      <c r="H50" s="1245" t="s">
        <v>497</v>
      </c>
      <c r="I50" s="1246">
        <f>'[1]Composições - Transportes'!B26</f>
        <v>5914584</v>
      </c>
      <c r="J50" s="1246">
        <f>'[1]Composições - Transportes'!B27</f>
        <v>5914599</v>
      </c>
      <c r="K50" s="1246">
        <f>'[1]Composições - Transportes'!B28</f>
        <v>5914614</v>
      </c>
      <c r="L50" s="1715">
        <f>ROUND(G50*($I$49*I51+$J$49*J51+$K$49*K51),4)</f>
        <v>0</v>
      </c>
    </row>
    <row r="51" spans="1:12" s="1271" customFormat="1" ht="14.1" customHeight="1" x14ac:dyDescent="0.25">
      <c r="A51" s="1740"/>
      <c r="B51" s="1710"/>
      <c r="C51" s="1711"/>
      <c r="D51" s="1712"/>
      <c r="E51" s="1712"/>
      <c r="F51" s="1713"/>
      <c r="G51" s="1714"/>
      <c r="H51" s="1247" t="s">
        <v>498</v>
      </c>
      <c r="I51" s="1248">
        <f>'[1]Composições - Transportes'!S26</f>
        <v>1.79</v>
      </c>
      <c r="J51" s="1248">
        <f>'[1]Composições - Transportes'!S27</f>
        <v>1.43</v>
      </c>
      <c r="K51" s="1248">
        <f>'[1]Composições - Transportes'!S28</f>
        <v>1.1399999999999999</v>
      </c>
      <c r="L51" s="1715"/>
    </row>
    <row r="52" spans="1:12" s="1271" customFormat="1" ht="5.25" customHeight="1" x14ac:dyDescent="0.25">
      <c r="A52" s="1318"/>
      <c r="B52" s="1319"/>
      <c r="C52" s="1197"/>
      <c r="D52" s="1701"/>
      <c r="E52" s="1701"/>
      <c r="F52" s="1701"/>
      <c r="G52" s="1199"/>
      <c r="H52" s="1342"/>
      <c r="I52" s="1342"/>
      <c r="J52" s="1251"/>
      <c r="K52" s="1343"/>
      <c r="L52" s="1202"/>
    </row>
    <row r="53" spans="1:12" s="1271" customFormat="1" ht="9.4499999999999993" customHeight="1" x14ac:dyDescent="0.25">
      <c r="A53" s="1216"/>
      <c r="B53" s="1204"/>
      <c r="C53" s="1197"/>
      <c r="D53" s="1217"/>
      <c r="E53" s="1217"/>
      <c r="F53" s="1217"/>
      <c r="G53" s="1205"/>
      <c r="H53" s="1344"/>
      <c r="I53" s="1344"/>
      <c r="J53" s="1251"/>
      <c r="K53" s="1345"/>
      <c r="L53" s="1202"/>
    </row>
    <row r="54" spans="1:12" s="1271" customFormat="1" ht="14.1" customHeight="1" x14ac:dyDescent="0.25">
      <c r="A54" s="1707" t="s">
        <v>499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ROUND(SUM(L50:L53),4)</f>
        <v>0</v>
      </c>
    </row>
    <row r="55" spans="1:12" s="1271" customFormat="1" ht="3" customHeight="1" x14ac:dyDescent="0.25">
      <c r="A55" s="1254"/>
      <c r="B55" s="1254"/>
      <c r="C55" s="1254"/>
      <c r="D55" s="1254"/>
      <c r="E55" s="1254"/>
      <c r="F55" s="1254"/>
      <c r="G55" s="1241"/>
      <c r="H55" s="1255"/>
      <c r="I55" s="1255"/>
      <c r="J55" s="1256"/>
      <c r="K55" s="1257"/>
      <c r="L55" s="1348"/>
    </row>
    <row r="56" spans="1:12" s="1271" customFormat="1" ht="15" customHeight="1" x14ac:dyDescent="0.25">
      <c r="A56" s="1707" t="s">
        <v>448</v>
      </c>
      <c r="B56" s="1707"/>
      <c r="C56" s="1707"/>
      <c r="D56" s="1707"/>
      <c r="E56" s="1707"/>
      <c r="F56" s="1707"/>
      <c r="G56" s="1707"/>
      <c r="H56" s="1707"/>
      <c r="I56" s="1707"/>
      <c r="J56" s="1707"/>
      <c r="K56" s="1707"/>
      <c r="L56" s="1253">
        <f>ROUND(L35+L45+L54,4)</f>
        <v>451.03989999999999</v>
      </c>
    </row>
    <row r="57" spans="1:12" s="1271" customFormat="1" ht="15" customHeight="1" x14ac:dyDescent="0.25">
      <c r="A57" s="1716" t="s">
        <v>449</v>
      </c>
      <c r="B57" s="1716"/>
      <c r="C57" s="1716"/>
      <c r="D57" s="1716"/>
      <c r="E57" s="1716"/>
      <c r="F57" s="1716"/>
      <c r="G57" s="1716"/>
      <c r="H57" s="1716"/>
      <c r="I57" s="1716"/>
      <c r="J57" s="1716"/>
      <c r="K57" s="1259">
        <f>[1]LDI!I34</f>
        <v>0.25569999999999998</v>
      </c>
      <c r="L57" s="1298">
        <f>ROUND(L56*K57,4)</f>
        <v>115.3309</v>
      </c>
    </row>
    <row r="58" spans="1:12" s="1271" customFormat="1" ht="20.100000000000001" customHeight="1" x14ac:dyDescent="0.25">
      <c r="A58" s="1704" t="s">
        <v>450</v>
      </c>
      <c r="B58" s="1704"/>
      <c r="C58" s="1704"/>
      <c r="D58" s="1704"/>
      <c r="E58" s="1704"/>
      <c r="F58" s="1704"/>
      <c r="G58" s="1704"/>
      <c r="H58" s="1704"/>
      <c r="I58" s="1704"/>
      <c r="J58" s="1704"/>
      <c r="K58" s="1704"/>
      <c r="L58" s="1260">
        <f>ROUND(L56+L57,2)</f>
        <v>566.37</v>
      </c>
    </row>
    <row r="59" spans="1:12" s="1271" customFormat="1" ht="9.4499999999999993" customHeight="1" x14ac:dyDescent="0.25">
      <c r="A59" s="1261"/>
      <c r="B59" s="1261"/>
      <c r="C59" s="1261"/>
      <c r="D59" s="1261"/>
      <c r="E59" s="1261"/>
      <c r="F59" s="1261"/>
      <c r="G59" s="1261"/>
      <c r="H59" s="1261"/>
      <c r="I59" s="1261"/>
      <c r="J59" s="1261"/>
      <c r="K59" s="1261"/>
      <c r="L59" s="1261"/>
    </row>
    <row r="60" spans="1:12" s="1271" customFormat="1" ht="20.25" customHeight="1" x14ac:dyDescent="0.25">
      <c r="A60" s="1262" t="s">
        <v>451</v>
      </c>
      <c r="B60" s="1263"/>
      <c r="C60" s="1717" t="s">
        <v>575</v>
      </c>
      <c r="D60" s="1717"/>
      <c r="E60" s="1717"/>
      <c r="F60" s="1717"/>
      <c r="G60" s="1717"/>
      <c r="H60" s="1717"/>
      <c r="I60" s="1717"/>
      <c r="J60" s="1717"/>
      <c r="K60" s="1717"/>
      <c r="L60" s="1717"/>
    </row>
    <row r="61" spans="1:12" s="1271" customFormat="1" ht="24.9" customHeight="1" x14ac:dyDescent="0.25">
      <c r="A61" s="1264"/>
      <c r="B61" s="1265"/>
      <c r="C61" s="1701" t="s">
        <v>576</v>
      </c>
      <c r="D61" s="1701"/>
      <c r="E61" s="1701"/>
      <c r="F61" s="1701"/>
      <c r="G61" s="1701"/>
      <c r="H61" s="1701"/>
      <c r="I61" s="1701"/>
      <c r="J61" s="1701"/>
      <c r="K61" s="1701"/>
      <c r="L61" s="1701"/>
    </row>
    <row r="62" spans="1:12" s="1271" customFormat="1" ht="4.5" customHeight="1" x14ac:dyDescent="0.25">
      <c r="A62" s="1267"/>
      <c r="B62" s="1268"/>
      <c r="C62" s="1268"/>
      <c r="D62" s="1268"/>
      <c r="E62" s="1268"/>
      <c r="F62" s="1268"/>
      <c r="G62" s="1268"/>
      <c r="H62" s="1268"/>
      <c r="I62" s="1268"/>
      <c r="J62" s="1268"/>
      <c r="K62" s="1268"/>
      <c r="L62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9">
    <mergeCell ref="C60:L60"/>
    <mergeCell ref="C61:L61"/>
    <mergeCell ref="L50:L51"/>
    <mergeCell ref="D52:F52"/>
    <mergeCell ref="A54:K54"/>
    <mergeCell ref="A56:K56"/>
    <mergeCell ref="A57:J57"/>
    <mergeCell ref="A58:K58"/>
    <mergeCell ref="A47:F49"/>
    <mergeCell ref="G47:G49"/>
    <mergeCell ref="H47:K47"/>
    <mergeCell ref="L47:L49"/>
    <mergeCell ref="A50:A51"/>
    <mergeCell ref="B50:B51"/>
    <mergeCell ref="C50:C51"/>
    <mergeCell ref="D50:E51"/>
    <mergeCell ref="F50:F51"/>
    <mergeCell ref="G50:G51"/>
    <mergeCell ref="A45:K46"/>
    <mergeCell ref="D39:G39"/>
    <mergeCell ref="H39:I39"/>
    <mergeCell ref="A40:B40"/>
    <mergeCell ref="D40:G40"/>
    <mergeCell ref="H40:I40"/>
    <mergeCell ref="A41:B41"/>
    <mergeCell ref="D41:G41"/>
    <mergeCell ref="H41:I41"/>
    <mergeCell ref="A42:B42"/>
    <mergeCell ref="D42:G42"/>
    <mergeCell ref="H42:I42"/>
    <mergeCell ref="D44:G44"/>
    <mergeCell ref="H44:I44"/>
    <mergeCell ref="A28:K28"/>
    <mergeCell ref="A35:H35"/>
    <mergeCell ref="I35:K35"/>
    <mergeCell ref="A37:G38"/>
    <mergeCell ref="H37:I38"/>
    <mergeCell ref="J37:J38"/>
    <mergeCell ref="D26:I26"/>
    <mergeCell ref="A8:L8"/>
    <mergeCell ref="A9:D9"/>
    <mergeCell ref="E9:L9"/>
    <mergeCell ref="A12:L13"/>
    <mergeCell ref="E15:J15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8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'6.3'!A3:K3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'6.3'!A4:K4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201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6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8.2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201</v>
      </c>
      <c r="E15" s="1695" t="s">
        <v>580</v>
      </c>
      <c r="F15" s="1695"/>
      <c r="G15" s="1695"/>
      <c r="H15" s="1695"/>
      <c r="I15" s="1695"/>
      <c r="J15" s="1695"/>
      <c r="K15" s="1189" t="s">
        <v>417</v>
      </c>
      <c r="L15" s="1190" t="s">
        <v>136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5.2" customHeight="1" x14ac:dyDescent="0.25">
      <c r="A19" s="1195" t="str">
        <f>'[1]Composições - Equipamentos'!A62</f>
        <v>DNIT –</v>
      </c>
      <c r="B19" s="1284" t="str">
        <f>'[1]Composições - Equipamentos'!B62</f>
        <v>E9686</v>
      </c>
      <c r="C19" s="1197" t="s">
        <v>434</v>
      </c>
      <c r="D19" s="1719" t="str">
        <f>'[1]Composições - Equipamentos'!C62</f>
        <v>Caminhão carroceria com guindauto com capacidade de 20 t.m - 136 kW</v>
      </c>
      <c r="E19" s="1719"/>
      <c r="F19" s="1719"/>
      <c r="G19" s="1199">
        <v>1</v>
      </c>
      <c r="H19" s="1200">
        <v>1</v>
      </c>
      <c r="I19" s="1201">
        <v>0</v>
      </c>
      <c r="J19" s="1289">
        <f>'[1]Composições - Equipamentos'!S62</f>
        <v>198.30850000000001</v>
      </c>
      <c r="K19" s="1289">
        <f>'[1]Composições - Equipamentos'!T62</f>
        <v>85.256</v>
      </c>
      <c r="L19" s="1289">
        <f t="shared" ref="L19:L20" si="0">ROUND((G19*H19*J19)+(G19*I19*K19),4)</f>
        <v>198.30850000000001</v>
      </c>
    </row>
    <row r="20" spans="1:14" s="1271" customFormat="1" ht="14.1" customHeight="1" x14ac:dyDescent="0.25">
      <c r="A20" s="1203"/>
      <c r="B20" s="1333"/>
      <c r="C20" s="1197"/>
      <c r="D20" s="1204"/>
      <c r="E20" s="1204"/>
      <c r="F20" s="1204"/>
      <c r="G20" s="1205"/>
      <c r="H20" s="1200"/>
      <c r="I20" s="1201"/>
      <c r="J20" s="1291"/>
      <c r="K20" s="129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92">
        <f>ROUND(SUM(L19:L20),4)</f>
        <v>198.30850000000001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195" t="str">
        <f>'[1]Atualização de custos unitarios'!A81</f>
        <v>DNIT –</v>
      </c>
      <c r="B25" s="1212" t="str">
        <f>'[1]Atualização de custos unitarios'!B81</f>
        <v>P9821</v>
      </c>
      <c r="C25" s="1197" t="s">
        <v>434</v>
      </c>
      <c r="D25" s="1204" t="str">
        <f>'[1]Atualização de custos unitarios'!C81</f>
        <v>Pedreiro</v>
      </c>
      <c r="E25" s="1204"/>
      <c r="F25" s="1204"/>
      <c r="G25" s="1204"/>
      <c r="H25" s="1204"/>
      <c r="I25" s="1198"/>
      <c r="J25" s="1213">
        <v>1</v>
      </c>
      <c r="K25" s="1252">
        <f>'1.1'!G97</f>
        <v>19.101600000000001</v>
      </c>
      <c r="L25" s="1293">
        <f t="shared" ref="L25:L27" si="1">ROUND(J25*K25,4)</f>
        <v>19.101600000000001</v>
      </c>
      <c r="N25" s="1274"/>
    </row>
    <row r="26" spans="1:14" s="1271" customFormat="1" ht="14.1" customHeight="1" x14ac:dyDescent="0.25">
      <c r="A26" s="1318" t="str">
        <f>'[1]Atualização de custos unitarios'!A84</f>
        <v>DNIT –</v>
      </c>
      <c r="B26" s="1319" t="str">
        <f>'[1]Atualização de custos unitarios'!B84</f>
        <v>P9824</v>
      </c>
      <c r="C26" s="1197" t="s">
        <v>434</v>
      </c>
      <c r="D26" s="1699" t="str">
        <f>'[1]Atualização de custos unitarios'!C84</f>
        <v>Servente</v>
      </c>
      <c r="E26" s="1699"/>
      <c r="F26" s="1699"/>
      <c r="G26" s="1699"/>
      <c r="H26" s="1699"/>
      <c r="I26" s="1699"/>
      <c r="J26" s="1213">
        <v>3</v>
      </c>
      <c r="K26" s="1252">
        <f>'1.1'!G100</f>
        <v>14.981199999999999</v>
      </c>
      <c r="L26" s="1293">
        <f t="shared" si="1"/>
        <v>44.943600000000004</v>
      </c>
    </row>
    <row r="27" spans="1:14" s="1271" customFormat="1" ht="14.1" customHeight="1" x14ac:dyDescent="0.25">
      <c r="A27" s="1216"/>
      <c r="B27" s="1217"/>
      <c r="C27" s="1217"/>
      <c r="D27" s="1217"/>
      <c r="E27" s="1217"/>
      <c r="F27" s="1217"/>
      <c r="G27" s="1173"/>
      <c r="H27" s="1193"/>
      <c r="I27" s="1218"/>
      <c r="J27" s="1219"/>
      <c r="K27" s="1252"/>
      <c r="L27" s="1293">
        <f t="shared" si="1"/>
        <v>0</v>
      </c>
    </row>
    <row r="28" spans="1:14" s="1271" customFormat="1" ht="9.4499999999999993" customHeight="1" x14ac:dyDescent="0.25">
      <c r="A28" s="1702" t="s">
        <v>478</v>
      </c>
      <c r="B28" s="1702"/>
      <c r="C28" s="1702"/>
      <c r="D28" s="1702"/>
      <c r="E28" s="1702"/>
      <c r="F28" s="1702"/>
      <c r="G28" s="1702"/>
      <c r="H28" s="1702"/>
      <c r="I28" s="1702"/>
      <c r="J28" s="1702"/>
      <c r="K28" s="1702"/>
      <c r="L28" s="1292">
        <f>ROUND(SUM(L25:L27),4)</f>
        <v>64.045199999999994</v>
      </c>
    </row>
    <row r="29" spans="1:14" s="1272" customFormat="1" ht="3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10"/>
      <c r="L29" s="1295"/>
    </row>
    <row r="30" spans="1:14" s="1272" customFormat="1" ht="14.1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20" t="s">
        <v>479</v>
      </c>
      <c r="L30" s="1294">
        <f>L21+L28</f>
        <v>262.3537</v>
      </c>
    </row>
    <row r="31" spans="1:14" s="1272" customFormat="1" ht="14.1" customHeight="1" x14ac:dyDescent="0.25">
      <c r="A31" s="1222" t="s">
        <v>480</v>
      </c>
      <c r="B31" s="1209"/>
      <c r="C31" s="1209"/>
      <c r="D31" s="1209"/>
      <c r="E31" s="1209"/>
      <c r="F31" s="1223">
        <v>1.556</v>
      </c>
      <c r="G31" s="1276" t="str">
        <f>L15</f>
        <v>m</v>
      </c>
      <c r="H31" s="1222"/>
      <c r="I31" s="1209"/>
      <c r="J31" s="1225"/>
      <c r="K31" s="1226" t="s">
        <v>481</v>
      </c>
      <c r="L31" s="1208">
        <f>ROUND(L30/F31,4)</f>
        <v>168.6078</v>
      </c>
    </row>
    <row r="32" spans="1:14" s="1272" customFormat="1" ht="14.1" customHeight="1" x14ac:dyDescent="0.25">
      <c r="A32" s="1222"/>
      <c r="B32" s="1209" t="s">
        <v>482</v>
      </c>
      <c r="C32" s="1209"/>
      <c r="D32" s="1209"/>
      <c r="E32" s="1209"/>
      <c r="F32" s="1223"/>
      <c r="G32" s="1224"/>
      <c r="H32" s="1222"/>
      <c r="I32" s="1209"/>
      <c r="J32" s="1225"/>
      <c r="K32" s="1220" t="s">
        <v>483</v>
      </c>
      <c r="L32" s="1208">
        <f>ROUND(L31*F32,4)</f>
        <v>0</v>
      </c>
    </row>
    <row r="33" spans="1:12" s="1272" customFormat="1" ht="14.1" customHeight="1" x14ac:dyDescent="0.25">
      <c r="A33" s="1222"/>
      <c r="B33" s="1209" t="s">
        <v>484</v>
      </c>
      <c r="C33" s="1209"/>
      <c r="D33" s="1209"/>
      <c r="E33" s="1209"/>
      <c r="F33" s="1227"/>
      <c r="G33" s="1224"/>
      <c r="H33" s="1225"/>
      <c r="I33" s="1228"/>
      <c r="J33" s="1210"/>
      <c r="K33" s="1220" t="s">
        <v>485</v>
      </c>
      <c r="L33" s="1292">
        <f>ROUND(L31*F33,4)</f>
        <v>0</v>
      </c>
    </row>
    <row r="34" spans="1:12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95"/>
    </row>
    <row r="35" spans="1:12" s="1271" customFormat="1" ht="14.1" customHeight="1" x14ac:dyDescent="0.25">
      <c r="A35" s="1696" t="s">
        <v>486</v>
      </c>
      <c r="B35" s="1696"/>
      <c r="C35" s="1696"/>
      <c r="D35" s="1696"/>
      <c r="E35" s="1696"/>
      <c r="F35" s="1696"/>
      <c r="G35" s="1696"/>
      <c r="H35" s="1696"/>
      <c r="I35" s="1704" t="s">
        <v>487</v>
      </c>
      <c r="J35" s="1704"/>
      <c r="K35" s="1704"/>
      <c r="L35" s="1296">
        <f>ROUND(SUM(L31:L34),4)</f>
        <v>168.6078</v>
      </c>
    </row>
    <row r="36" spans="1:12" s="1272" customFormat="1" ht="3" customHeight="1" x14ac:dyDescent="0.25">
      <c r="A36" s="710"/>
      <c r="B36" s="710"/>
      <c r="C36" s="710"/>
      <c r="D36" s="710"/>
      <c r="E36" s="710"/>
      <c r="F36" s="710"/>
      <c r="G36" s="1231"/>
      <c r="H36" s="1231"/>
      <c r="I36" s="1232"/>
      <c r="J36" s="1232"/>
      <c r="K36" s="1232"/>
      <c r="L36" s="710"/>
    </row>
    <row r="37" spans="1:12" s="1271" customFormat="1" ht="14.1" customHeight="1" x14ac:dyDescent="0.25">
      <c r="A37" s="1696" t="s">
        <v>488</v>
      </c>
      <c r="B37" s="1696"/>
      <c r="C37" s="1696"/>
      <c r="D37" s="1696"/>
      <c r="E37" s="1696"/>
      <c r="F37" s="1696"/>
      <c r="G37" s="1696"/>
      <c r="H37" s="1697" t="s">
        <v>164</v>
      </c>
      <c r="I37" s="1697"/>
      <c r="J37" s="1697" t="s">
        <v>163</v>
      </c>
      <c r="K37" s="1192" t="s">
        <v>489</v>
      </c>
      <c r="L37" s="1192" t="s">
        <v>472</v>
      </c>
    </row>
    <row r="38" spans="1:12" s="1271" customFormat="1" ht="14.1" customHeight="1" x14ac:dyDescent="0.25">
      <c r="A38" s="1696"/>
      <c r="B38" s="1696"/>
      <c r="C38" s="1696"/>
      <c r="D38" s="1696"/>
      <c r="E38" s="1696"/>
      <c r="F38" s="1696"/>
      <c r="G38" s="1696"/>
      <c r="H38" s="1697"/>
      <c r="I38" s="1697"/>
      <c r="J38" s="1697"/>
      <c r="K38" s="1233" t="s">
        <v>490</v>
      </c>
      <c r="L38" s="1194" t="s">
        <v>490</v>
      </c>
    </row>
    <row r="39" spans="1:12" s="1271" customFormat="1" ht="14.1" customHeight="1" x14ac:dyDescent="0.25">
      <c r="A39" s="1334" t="str">
        <f>'[1]Atualização de custos unitarios'!A171</f>
        <v>DNIT –</v>
      </c>
      <c r="B39" s="1335" t="str">
        <f>'[1]Atualização de custos unitarios'!B171</f>
        <v>M2175</v>
      </c>
      <c r="C39" s="1255" t="s">
        <v>434</v>
      </c>
      <c r="D39" s="1722" t="str">
        <f>'[1]Atualização de custos unitarios'!C171</f>
        <v>Tubo de concreto armado PA 1 - D = 1,00 m</v>
      </c>
      <c r="E39" s="1722"/>
      <c r="F39" s="1722"/>
      <c r="G39" s="1722"/>
      <c r="H39" s="1705">
        <v>2</v>
      </c>
      <c r="I39" s="1705"/>
      <c r="J39" s="1336" t="str">
        <f>'[1]Atualização de custos unitarios'!D171</f>
        <v>m</v>
      </c>
      <c r="K39" s="1337">
        <v>230.1362</v>
      </c>
      <c r="L39" s="1297">
        <f t="shared" ref="L39:L43" si="2">ROUND(H39*K39,4)</f>
        <v>460.2724</v>
      </c>
    </row>
    <row r="40" spans="1:12" s="1271" customFormat="1" ht="24.9" customHeight="1" x14ac:dyDescent="0.25">
      <c r="A40" s="1733" t="str">
        <f>CONCATENATE('[1]A004-Forma.Comum'!L6," ",'[1]A004-Forma.Comum'!L7)</f>
        <v>INCRA A 004</v>
      </c>
      <c r="B40" s="1733"/>
      <c r="C40" s="1197" t="s">
        <v>434</v>
      </c>
      <c r="D40" s="1701" t="str">
        <f>'[1]A004-Forma.Comum'!E18</f>
        <v>Formas de tábuas de pinho - utilização de 3 vezes - fornecimento, instalação e retirada</v>
      </c>
      <c r="E40" s="1701"/>
      <c r="F40" s="1701"/>
      <c r="G40" s="1701"/>
      <c r="H40" s="1727">
        <f>'[1]Vol. Bueiro100'!H21</f>
        <v>0.3</v>
      </c>
      <c r="I40" s="1727"/>
      <c r="J40" s="1237" t="str">
        <f>'[1]A004-Forma.Comum'!L18</f>
        <v>m²</v>
      </c>
      <c r="K40" s="1252">
        <v>77.47999999999999</v>
      </c>
      <c r="L40" s="1289">
        <f t="shared" si="2"/>
        <v>23.244</v>
      </c>
    </row>
    <row r="41" spans="1:12" s="1271" customFormat="1" ht="14.1" customHeight="1" x14ac:dyDescent="0.25">
      <c r="A41" s="1733" t="str">
        <f>CONCATENATE('[1]A006-Argamassa.1-4'!L6," ",'[1]A006-Argamassa.1-4'!L7)</f>
        <v>INCRA A 006</v>
      </c>
      <c r="B41" s="1733"/>
      <c r="C41" s="1197" t="s">
        <v>434</v>
      </c>
      <c r="D41" s="1699" t="str">
        <f>'[1]A006-Argamassa.1-4'!E18</f>
        <v>Argamassa de cimento e areia 1:4 - areia comercial</v>
      </c>
      <c r="E41" s="1699"/>
      <c r="F41" s="1699"/>
      <c r="G41" s="1699"/>
      <c r="H41" s="1727">
        <v>1.1860000000000001E-2</v>
      </c>
      <c r="I41" s="1727"/>
      <c r="J41" s="1237" t="str">
        <f>'[1]A006-Argamassa.1-4'!L18</f>
        <v>m³</v>
      </c>
      <c r="K41" s="1252">
        <v>355.79</v>
      </c>
      <c r="L41" s="1289">
        <f t="shared" si="2"/>
        <v>4.2196999999999996</v>
      </c>
    </row>
    <row r="42" spans="1:12" s="1271" customFormat="1" ht="24.9" customHeight="1" x14ac:dyDescent="0.25">
      <c r="A42" s="1733" t="str">
        <f>CONCATENATE('[1]A010-Conc.Cicl.20MPa'!L6," ",'[1]A010-Conc.Cicl.20MPa'!L7)</f>
        <v>INCRA A 010</v>
      </c>
      <c r="B42" s="1733"/>
      <c r="C42" s="1197" t="s">
        <v>434</v>
      </c>
      <c r="D42" s="1701" t="str">
        <f>'[1]A010-Conc.Cicl.20MPa'!E18</f>
        <v>Concreto ciclópico fck = 20 MPa - confecção em betoneira e lançamento manual - areia, brita e pedra de mão comerciais</v>
      </c>
      <c r="E42" s="1701"/>
      <c r="F42" s="1701"/>
      <c r="G42" s="1701"/>
      <c r="H42" s="1727">
        <f>'[1]Vol. Bueiro100'!I21</f>
        <v>0.67679999999999996</v>
      </c>
      <c r="I42" s="1727"/>
      <c r="J42" s="1237" t="str">
        <f>'[1]A010-Conc.Cicl.20MPa'!L18</f>
        <v>m³</v>
      </c>
      <c r="K42" s="1252">
        <v>328.53000000000003</v>
      </c>
      <c r="L42" s="1289">
        <f t="shared" si="2"/>
        <v>222.34909999999999</v>
      </c>
    </row>
    <row r="43" spans="1:12" s="1271" customFormat="1" ht="14.1" customHeight="1" x14ac:dyDescent="0.25">
      <c r="A43" s="1338"/>
      <c r="B43" s="1339"/>
      <c r="C43" s="1193"/>
      <c r="D43" s="1739"/>
      <c r="E43" s="1739"/>
      <c r="F43" s="1739"/>
      <c r="G43" s="1739"/>
      <c r="H43" s="1706"/>
      <c r="I43" s="1706"/>
      <c r="J43" s="1340"/>
      <c r="K43" s="1341"/>
      <c r="L43" s="1291">
        <f t="shared" si="2"/>
        <v>0</v>
      </c>
    </row>
    <row r="44" spans="1:12" s="1271" customFormat="1" ht="14.1" customHeight="1" x14ac:dyDescent="0.25">
      <c r="A44" s="1738" t="s">
        <v>491</v>
      </c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53">
        <f>ROUND(SUM(L39:L43),4)</f>
        <v>710.08519999999999</v>
      </c>
    </row>
    <row r="45" spans="1:12" s="1272" customFormat="1" ht="9.4499999999999993" customHeight="1" x14ac:dyDescent="0.25">
      <c r="A45" s="1738"/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243"/>
    </row>
    <row r="46" spans="1:12" s="1271" customFormat="1" ht="14.1" customHeight="1" x14ac:dyDescent="0.25">
      <c r="A46" s="1696" t="s">
        <v>492</v>
      </c>
      <c r="B46" s="1696"/>
      <c r="C46" s="1696"/>
      <c r="D46" s="1696"/>
      <c r="E46" s="1696"/>
      <c r="F46" s="1696"/>
      <c r="G46" s="1703" t="s">
        <v>493</v>
      </c>
      <c r="H46" s="1697" t="s">
        <v>494</v>
      </c>
      <c r="I46" s="1697"/>
      <c r="J46" s="1697"/>
      <c r="K46" s="1697"/>
      <c r="L46" s="1697" t="s">
        <v>495</v>
      </c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211" t="s">
        <v>110</v>
      </c>
      <c r="I47" s="1218" t="s">
        <v>302</v>
      </c>
      <c r="J47" s="1194" t="s">
        <v>305</v>
      </c>
      <c r="K47" s="1233" t="s">
        <v>307</v>
      </c>
      <c r="L47" s="1697"/>
    </row>
    <row r="48" spans="1:12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191" t="s">
        <v>496</v>
      </c>
      <c r="I48" s="1244"/>
      <c r="J48" s="1244"/>
      <c r="K48" s="1244"/>
      <c r="L48" s="1697"/>
    </row>
    <row r="49" spans="1:12" s="1271" customFormat="1" ht="14.1" customHeight="1" x14ac:dyDescent="0.25">
      <c r="A49" s="1740" t="str">
        <f>A39</f>
        <v>DNIT –</v>
      </c>
      <c r="B49" s="1710" t="str">
        <f>B39</f>
        <v>M2175</v>
      </c>
      <c r="C49" s="1711" t="s">
        <v>434</v>
      </c>
      <c r="D49" s="1712" t="str">
        <f>D39</f>
        <v>Tubo de concreto armado PA 1 - D = 1,00 m</v>
      </c>
      <c r="E49" s="1712"/>
      <c r="F49" s="1713" t="s">
        <v>574</v>
      </c>
      <c r="G49" s="1714">
        <f>ROUND(770*2/1000,5)</f>
        <v>1.54</v>
      </c>
      <c r="H49" s="1245" t="s">
        <v>497</v>
      </c>
      <c r="I49" s="1246">
        <f>'[1]Composições - Transportes'!B26</f>
        <v>5914584</v>
      </c>
      <c r="J49" s="1246">
        <f>'[1]Composições - Transportes'!B27</f>
        <v>5914599</v>
      </c>
      <c r="K49" s="1246">
        <f>'[1]Composições - Transportes'!B28</f>
        <v>5914614</v>
      </c>
      <c r="L49" s="1715">
        <f>ROUND(G49*($I$48*I50+$J$48*J50+$K$48*K50),4)</f>
        <v>0</v>
      </c>
    </row>
    <row r="50" spans="1:12" s="1271" customFormat="1" ht="14.1" customHeight="1" x14ac:dyDescent="0.25">
      <c r="A50" s="1740"/>
      <c r="B50" s="1710"/>
      <c r="C50" s="1711"/>
      <c r="D50" s="1712"/>
      <c r="E50" s="1712"/>
      <c r="F50" s="1713"/>
      <c r="G50" s="1714"/>
      <c r="H50" s="1247" t="s">
        <v>498</v>
      </c>
      <c r="I50" s="1248">
        <f>'[1]Composições - Transportes'!S26</f>
        <v>1.79</v>
      </c>
      <c r="J50" s="1248">
        <f>'[1]Composições - Transportes'!S27</f>
        <v>1.43</v>
      </c>
      <c r="K50" s="1248">
        <f>'[1]Composições - Transportes'!S28</f>
        <v>1.1399999999999999</v>
      </c>
      <c r="L50" s="1715"/>
    </row>
    <row r="51" spans="1:12" s="1271" customFormat="1" ht="8.25" customHeight="1" x14ac:dyDescent="0.25">
      <c r="A51" s="1318"/>
      <c r="B51" s="1319"/>
      <c r="C51" s="1197"/>
      <c r="D51" s="1701"/>
      <c r="E51" s="1701"/>
      <c r="F51" s="1701"/>
      <c r="G51" s="1199"/>
      <c r="H51" s="1342"/>
      <c r="I51" s="1342"/>
      <c r="J51" s="1251"/>
      <c r="K51" s="1343"/>
      <c r="L51" s="1202"/>
    </row>
    <row r="52" spans="1:12" s="1271" customFormat="1" ht="6.75" customHeight="1" x14ac:dyDescent="0.25">
      <c r="A52" s="1216"/>
      <c r="B52" s="1204"/>
      <c r="C52" s="1197"/>
      <c r="D52" s="1217"/>
      <c r="E52" s="1217"/>
      <c r="F52" s="1217"/>
      <c r="G52" s="1205"/>
      <c r="H52" s="1344"/>
      <c r="I52" s="1344"/>
      <c r="J52" s="1251"/>
      <c r="K52" s="1345"/>
      <c r="L52" s="1202"/>
    </row>
    <row r="53" spans="1:12" s="1271" customFormat="1" ht="14.1" customHeight="1" x14ac:dyDescent="0.25">
      <c r="A53" s="1707" t="s">
        <v>499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ROUND(SUM(L49:L52),4)</f>
        <v>0</v>
      </c>
    </row>
    <row r="54" spans="1:12" s="1271" customFormat="1" ht="3" customHeight="1" x14ac:dyDescent="0.25">
      <c r="A54" s="1254"/>
      <c r="B54" s="1254"/>
      <c r="C54" s="1254"/>
      <c r="D54" s="1254"/>
      <c r="E54" s="1254"/>
      <c r="F54" s="1254"/>
      <c r="G54" s="1241"/>
      <c r="H54" s="1255"/>
      <c r="I54" s="1255"/>
      <c r="J54" s="1256"/>
      <c r="K54" s="1257"/>
      <c r="L54" s="1258"/>
    </row>
    <row r="55" spans="1:12" s="1271" customFormat="1" ht="15" customHeight="1" x14ac:dyDescent="0.25">
      <c r="A55" s="1707" t="s">
        <v>448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253">
        <f>ROUND(L35+L44+L53,4)</f>
        <v>878.69299999999998</v>
      </c>
    </row>
    <row r="56" spans="1:12" s="1271" customFormat="1" ht="15" customHeight="1" x14ac:dyDescent="0.25">
      <c r="A56" s="1716" t="s">
        <v>449</v>
      </c>
      <c r="B56" s="1716"/>
      <c r="C56" s="1716"/>
      <c r="D56" s="1716"/>
      <c r="E56" s="1716"/>
      <c r="F56" s="1716"/>
      <c r="G56" s="1716"/>
      <c r="H56" s="1716"/>
      <c r="I56" s="1716"/>
      <c r="J56" s="1716"/>
      <c r="K56" s="1259">
        <f>[1]LDI!I34</f>
        <v>0.25569999999999998</v>
      </c>
      <c r="L56" s="1298">
        <f>ROUND(L55*K56,4)</f>
        <v>224.68180000000001</v>
      </c>
    </row>
    <row r="57" spans="1:12" s="1271" customFormat="1" ht="20.100000000000001" customHeight="1" x14ac:dyDescent="0.25">
      <c r="A57" s="1704" t="s">
        <v>450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260">
        <f>ROUND(L55+L56,2)</f>
        <v>1103.3699999999999</v>
      </c>
    </row>
    <row r="58" spans="1:12" s="1271" customFormat="1" ht="3" customHeight="1" x14ac:dyDescent="0.25">
      <c r="A58" s="1261"/>
      <c r="B58" s="1261"/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</row>
    <row r="59" spans="1:12" s="1271" customFormat="1" ht="21.75" customHeight="1" x14ac:dyDescent="0.25">
      <c r="A59" s="1262" t="s">
        <v>451</v>
      </c>
      <c r="B59" s="1263"/>
      <c r="C59" s="1717" t="s">
        <v>581</v>
      </c>
      <c r="D59" s="1717"/>
      <c r="E59" s="1717"/>
      <c r="F59" s="1717"/>
      <c r="G59" s="1717"/>
      <c r="H59" s="1717"/>
      <c r="I59" s="1717"/>
      <c r="J59" s="1717"/>
      <c r="K59" s="1717"/>
      <c r="L59" s="1717"/>
    </row>
    <row r="60" spans="1:12" s="1271" customFormat="1" ht="20.25" customHeight="1" x14ac:dyDescent="0.25">
      <c r="A60" s="1264"/>
      <c r="B60" s="1265"/>
      <c r="C60" s="1701" t="s">
        <v>576</v>
      </c>
      <c r="D60" s="1701"/>
      <c r="E60" s="1701"/>
      <c r="F60" s="1701"/>
      <c r="G60" s="1701"/>
      <c r="H60" s="1701"/>
      <c r="I60" s="1701"/>
      <c r="J60" s="1701"/>
      <c r="K60" s="1701"/>
      <c r="L60" s="1701"/>
    </row>
    <row r="61" spans="1:12" s="1271" customFormat="1" ht="1.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9">
    <mergeCell ref="C59:L59"/>
    <mergeCell ref="C60:L60"/>
    <mergeCell ref="L49:L50"/>
    <mergeCell ref="D51:F51"/>
    <mergeCell ref="A53:K53"/>
    <mergeCell ref="A55:K55"/>
    <mergeCell ref="A56:J56"/>
    <mergeCell ref="A57:K57"/>
    <mergeCell ref="A46:F48"/>
    <mergeCell ref="G46:G48"/>
    <mergeCell ref="H46:K46"/>
    <mergeCell ref="L46:L48"/>
    <mergeCell ref="A49:A50"/>
    <mergeCell ref="B49:B50"/>
    <mergeCell ref="C49:C50"/>
    <mergeCell ref="D49:E50"/>
    <mergeCell ref="F49:F50"/>
    <mergeCell ref="G49:G50"/>
    <mergeCell ref="A44:K45"/>
    <mergeCell ref="D39:G39"/>
    <mergeCell ref="H39:I39"/>
    <mergeCell ref="A40:B40"/>
    <mergeCell ref="D40:G40"/>
    <mergeCell ref="H40:I40"/>
    <mergeCell ref="A41:B41"/>
    <mergeCell ref="D41:G41"/>
    <mergeCell ref="H41:I41"/>
    <mergeCell ref="A42:B42"/>
    <mergeCell ref="D42:G42"/>
    <mergeCell ref="H42:I42"/>
    <mergeCell ref="D43:G43"/>
    <mergeCell ref="H43:I43"/>
    <mergeCell ref="A28:K28"/>
    <mergeCell ref="A35:H35"/>
    <mergeCell ref="I35:K35"/>
    <mergeCell ref="A37:G38"/>
    <mergeCell ref="H37:I38"/>
    <mergeCell ref="J37:J38"/>
    <mergeCell ref="D26:I26"/>
    <mergeCell ref="A8:L8"/>
    <mergeCell ref="A9:D9"/>
    <mergeCell ref="E9:L9"/>
    <mergeCell ref="A12:L13"/>
    <mergeCell ref="E15:J15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9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65536"/>
  <sheetViews>
    <sheetView view="pageBreakPreview" topLeftCell="A43" zoomScale="90" zoomScaleNormal="80" zoomScaleSheetLayoutView="9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'6.4'!A3:K3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'6.4'!A4:K4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6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205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6.7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2.7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205</v>
      </c>
      <c r="E15" s="1349" t="s">
        <v>582</v>
      </c>
      <c r="F15" s="1350"/>
      <c r="G15" s="1349"/>
      <c r="H15" s="1350"/>
      <c r="I15" s="1350"/>
      <c r="J15" s="1351"/>
      <c r="K15" s="1189" t="s">
        <v>417</v>
      </c>
      <c r="L15" s="1190" t="s">
        <v>418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15.75" customHeight="1" x14ac:dyDescent="0.25">
      <c r="A19" s="1195"/>
      <c r="B19" s="1273"/>
      <c r="C19" s="1197"/>
      <c r="D19" s="1719"/>
      <c r="E19" s="1719"/>
      <c r="F19" s="1719"/>
      <c r="G19" s="1199"/>
      <c r="H19" s="1200"/>
      <c r="I19" s="1201"/>
      <c r="J19" s="1289"/>
      <c r="K19" s="1289"/>
      <c r="L19" s="1289">
        <f t="shared" ref="L19:L20" si="0">ROUND((G19*H19*J19)+(G19*I19*K19),4)</f>
        <v>0</v>
      </c>
    </row>
    <row r="20" spans="1:14" s="1271" customFormat="1" ht="14.1" customHeight="1" x14ac:dyDescent="0.25">
      <c r="A20" s="1203"/>
      <c r="B20" s="1204"/>
      <c r="C20" s="1197"/>
      <c r="D20" s="1204"/>
      <c r="E20" s="1204"/>
      <c r="F20" s="1204"/>
      <c r="G20" s="1205"/>
      <c r="H20" s="1200"/>
      <c r="I20" s="1201"/>
      <c r="J20" s="1301"/>
      <c r="K20" s="130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08">
        <f>ROUND(SUM(L19:L20),4)</f>
        <v>0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306"/>
      <c r="B25" s="1196"/>
      <c r="C25" s="1197"/>
      <c r="D25" s="1722"/>
      <c r="E25" s="1722"/>
      <c r="F25" s="1722"/>
      <c r="G25" s="1722"/>
      <c r="H25" s="1722"/>
      <c r="I25" s="1722"/>
      <c r="J25" s="1213"/>
      <c r="K25" s="1311"/>
      <c r="L25" s="1293">
        <f t="shared" ref="L25:L26" si="1">ROUND(J25*K25,4)</f>
        <v>0</v>
      </c>
      <c r="N25" s="1274"/>
    </row>
    <row r="26" spans="1:14" s="1271" customFormat="1" ht="14.1" customHeight="1" x14ac:dyDescent="0.25">
      <c r="A26" s="1216"/>
      <c r="B26" s="1217"/>
      <c r="C26" s="1217"/>
      <c r="D26" s="1217"/>
      <c r="E26" s="1217"/>
      <c r="F26" s="1217"/>
      <c r="G26" s="1173"/>
      <c r="H26" s="1193"/>
      <c r="I26" s="1218"/>
      <c r="J26" s="1219"/>
      <c r="K26" s="1302"/>
      <c r="L26" s="1215">
        <f t="shared" si="1"/>
        <v>0</v>
      </c>
    </row>
    <row r="27" spans="1:14" s="1271" customFormat="1" ht="14.1" customHeight="1" x14ac:dyDescent="0.25">
      <c r="A27" s="1702" t="s">
        <v>478</v>
      </c>
      <c r="B27" s="1702"/>
      <c r="C27" s="1702"/>
      <c r="D27" s="1702"/>
      <c r="E27" s="1702"/>
      <c r="F27" s="1702"/>
      <c r="G27" s="1702"/>
      <c r="H27" s="1702"/>
      <c r="I27" s="1702"/>
      <c r="J27" s="1702"/>
      <c r="K27" s="1702"/>
      <c r="L27" s="1208">
        <f>ROUND(SUM(L25:L26),4)</f>
        <v>0</v>
      </c>
    </row>
    <row r="28" spans="1:14" s="1272" customFormat="1" ht="9.4499999999999993" customHeight="1" x14ac:dyDescent="0.25">
      <c r="A28" s="1209"/>
      <c r="B28" s="1209"/>
      <c r="C28" s="1209"/>
      <c r="D28" s="1209"/>
      <c r="E28" s="1209"/>
      <c r="F28" s="1209"/>
      <c r="G28" s="1209"/>
      <c r="H28" s="1209"/>
      <c r="I28" s="1209"/>
      <c r="J28" s="1210"/>
      <c r="K28" s="1210"/>
      <c r="L28" s="1229"/>
    </row>
    <row r="29" spans="1:14" s="1272" customFormat="1" ht="14.1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20" t="s">
        <v>479</v>
      </c>
      <c r="L29" s="1294">
        <f>L21+L27</f>
        <v>0</v>
      </c>
    </row>
    <row r="30" spans="1:14" s="1272" customFormat="1" ht="14.1" customHeight="1" x14ac:dyDescent="0.25">
      <c r="A30" s="1222" t="s">
        <v>480</v>
      </c>
      <c r="B30" s="1209"/>
      <c r="C30" s="1209"/>
      <c r="D30" s="1209"/>
      <c r="E30" s="1209"/>
      <c r="F30" s="1223">
        <v>1</v>
      </c>
      <c r="G30" s="1276" t="str">
        <f>L15</f>
        <v xml:space="preserve">un </v>
      </c>
      <c r="H30" s="1222"/>
      <c r="I30" s="1209"/>
      <c r="J30" s="1225"/>
      <c r="K30" s="1226" t="s">
        <v>481</v>
      </c>
      <c r="L30" s="1208">
        <f>ROUND(L29/F30,4)</f>
        <v>0</v>
      </c>
    </row>
    <row r="31" spans="1:14" s="1272" customFormat="1" ht="14.1" customHeight="1" x14ac:dyDescent="0.25">
      <c r="A31" s="1222"/>
      <c r="B31" s="1209" t="s">
        <v>482</v>
      </c>
      <c r="C31" s="1209"/>
      <c r="D31" s="1209"/>
      <c r="E31" s="1209"/>
      <c r="F31" s="1223"/>
      <c r="G31" s="1224"/>
      <c r="H31" s="1222"/>
      <c r="I31" s="1209"/>
      <c r="J31" s="1225"/>
      <c r="K31" s="1220" t="s">
        <v>483</v>
      </c>
      <c r="L31" s="1208">
        <f>ROUND(L30*F31,4)</f>
        <v>0</v>
      </c>
    </row>
    <row r="32" spans="1:14" s="1272" customFormat="1" ht="14.1" customHeight="1" x14ac:dyDescent="0.25">
      <c r="A32" s="1222"/>
      <c r="B32" s="1209" t="s">
        <v>484</v>
      </c>
      <c r="C32" s="1209"/>
      <c r="D32" s="1209"/>
      <c r="E32" s="1209"/>
      <c r="F32" s="1227"/>
      <c r="G32" s="1224"/>
      <c r="H32" s="1225"/>
      <c r="I32" s="1228"/>
      <c r="J32" s="1210"/>
      <c r="K32" s="1220" t="s">
        <v>485</v>
      </c>
      <c r="L32" s="1292">
        <f>ROUND(L30*F32,4)</f>
        <v>0</v>
      </c>
    </row>
    <row r="33" spans="1:14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95"/>
    </row>
    <row r="34" spans="1:14" s="1271" customFormat="1" ht="14.1" customHeight="1" x14ac:dyDescent="0.25">
      <c r="A34" s="1696" t="s">
        <v>486</v>
      </c>
      <c r="B34" s="1696"/>
      <c r="C34" s="1696"/>
      <c r="D34" s="1696"/>
      <c r="E34" s="1696"/>
      <c r="F34" s="1696"/>
      <c r="G34" s="1696"/>
      <c r="H34" s="1696"/>
      <c r="I34" s="1704" t="s">
        <v>487</v>
      </c>
      <c r="J34" s="1704"/>
      <c r="K34" s="1704"/>
      <c r="L34" s="1296">
        <f>ROUND(SUM(L30:L33),4)</f>
        <v>0</v>
      </c>
    </row>
    <row r="35" spans="1:14" s="1272" customFormat="1" ht="3" customHeight="1" x14ac:dyDescent="0.25">
      <c r="A35" s="710"/>
      <c r="B35" s="710"/>
      <c r="C35" s="710"/>
      <c r="D35" s="710"/>
      <c r="E35" s="710"/>
      <c r="F35" s="710"/>
      <c r="G35" s="1231"/>
      <c r="H35" s="1231"/>
      <c r="I35" s="1232"/>
      <c r="J35" s="1232"/>
      <c r="K35" s="1232"/>
      <c r="L35" s="710"/>
    </row>
    <row r="36" spans="1:14" s="1271" customFormat="1" ht="14.1" customHeight="1" x14ac:dyDescent="0.25">
      <c r="A36" s="1696" t="s">
        <v>488</v>
      </c>
      <c r="B36" s="1696"/>
      <c r="C36" s="1696"/>
      <c r="D36" s="1696"/>
      <c r="E36" s="1696"/>
      <c r="F36" s="1696"/>
      <c r="G36" s="1696"/>
      <c r="H36" s="1697" t="s">
        <v>164</v>
      </c>
      <c r="I36" s="1697"/>
      <c r="J36" s="1697" t="s">
        <v>163</v>
      </c>
      <c r="K36" s="1192" t="s">
        <v>489</v>
      </c>
      <c r="L36" s="1192" t="s">
        <v>472</v>
      </c>
    </row>
    <row r="37" spans="1:14" s="1271" customFormat="1" ht="14.1" customHeight="1" x14ac:dyDescent="0.25">
      <c r="A37" s="1696"/>
      <c r="B37" s="1696"/>
      <c r="C37" s="1696"/>
      <c r="D37" s="1696"/>
      <c r="E37" s="1696"/>
      <c r="F37" s="1696"/>
      <c r="G37" s="1696"/>
      <c r="H37" s="1697"/>
      <c r="I37" s="1697"/>
      <c r="J37" s="1697"/>
      <c r="K37" s="1233" t="s">
        <v>490</v>
      </c>
      <c r="L37" s="1194" t="s">
        <v>490</v>
      </c>
      <c r="N37" s="1271">
        <v>0.4</v>
      </c>
    </row>
    <row r="38" spans="1:14" s="1271" customFormat="1" ht="24.9" customHeight="1" x14ac:dyDescent="0.25">
      <c r="A38" s="1726" t="str">
        <f>CONCATENATE('[1]A004-Forma.Comum'!L6," ",'[1]A004-Forma.Comum'!L7)</f>
        <v>INCRA A 004</v>
      </c>
      <c r="B38" s="1726"/>
      <c r="C38" s="1197" t="s">
        <v>434</v>
      </c>
      <c r="D38" s="1720" t="str">
        <f>'[1]A004-Forma.Comum'!E18</f>
        <v>Formas de tábuas de pinho - utilização de 3 vezes - fornecimento, instalação e retirada</v>
      </c>
      <c r="E38" s="1720"/>
      <c r="F38" s="1720"/>
      <c r="G38" s="1720"/>
      <c r="H38" s="1727">
        <f>'[1]Vol. Bueiro60'!H7</f>
        <v>4.0641999999999996</v>
      </c>
      <c r="I38" s="1727"/>
      <c r="J38" s="1237" t="str">
        <f>'[1]A004-Forma.Comum'!L18</f>
        <v>m²</v>
      </c>
      <c r="K38" s="1252">
        <v>77.47999999999999</v>
      </c>
      <c r="L38" s="1289">
        <f t="shared" ref="L38:L42" si="2">ROUND(H38*K38,4)</f>
        <v>314.89420000000001</v>
      </c>
    </row>
    <row r="39" spans="1:14" s="1271" customFormat="1" ht="14.1" customHeight="1" x14ac:dyDescent="0.25">
      <c r="A39" s="1733" t="str">
        <f>CONCATENATE('[1]A005-Argamassa.1-3'!L6," ",'[1]A005-Argamassa.1-3'!L7)</f>
        <v>INCRA A 005</v>
      </c>
      <c r="B39" s="1733"/>
      <c r="C39" s="1197" t="s">
        <v>434</v>
      </c>
      <c r="D39" s="1699" t="str">
        <f>'[1]A005-Argamassa.1-3'!E18</f>
        <v>Argamassa de cimento e areia 1:3 - areia comercial</v>
      </c>
      <c r="E39" s="1699"/>
      <c r="F39" s="1699"/>
      <c r="G39" s="1699"/>
      <c r="H39" s="1727">
        <v>2.4750000000000001E-2</v>
      </c>
      <c r="I39" s="1727"/>
      <c r="J39" s="1237" t="str">
        <f>'[1]A006-Argamassa.1-4'!L18</f>
        <v>m³</v>
      </c>
      <c r="K39" s="1252">
        <v>355.79</v>
      </c>
      <c r="L39" s="1289">
        <f t="shared" si="2"/>
        <v>8.8057999999999996</v>
      </c>
      <c r="N39" s="1783">
        <f>K39-N37</f>
        <v>355.39000000000004</v>
      </c>
    </row>
    <row r="40" spans="1:14" s="1271" customFormat="1" ht="24.9" customHeight="1" x14ac:dyDescent="0.25">
      <c r="A40" s="1733" t="str">
        <f>CONCATENATE('[1]A010-Conc.Cicl.20MPa'!L6," ",'[1]A010-Conc.Cicl.20MPa'!L7)</f>
        <v>INCRA A 010</v>
      </c>
      <c r="B40" s="1733"/>
      <c r="C40" s="1197" t="s">
        <v>434</v>
      </c>
      <c r="D40" s="1720" t="str">
        <f>'[1]A010-Conc.Cicl.20MPa'!E18</f>
        <v>Concreto ciclópico fck = 20 MPa - confecção em betoneira e lançamento manual - areia, brita e pedra de mão comerciais</v>
      </c>
      <c r="E40" s="1720"/>
      <c r="F40" s="1720"/>
      <c r="G40" s="1720"/>
      <c r="H40" s="1727">
        <f>'[1]Vol. Bueiro60'!I7</f>
        <v>0.43730000000000002</v>
      </c>
      <c r="I40" s="1727"/>
      <c r="J40" s="1237" t="str">
        <f>'[1]A010-Conc.Cicl.20MPa'!L18</f>
        <v>m³</v>
      </c>
      <c r="K40" s="1252">
        <v>328.53000000000003</v>
      </c>
      <c r="L40" s="1289">
        <f t="shared" si="2"/>
        <v>143.6662</v>
      </c>
    </row>
    <row r="41" spans="1:14" s="1271" customFormat="1" ht="14.1" customHeight="1" x14ac:dyDescent="0.25">
      <c r="A41" s="1733"/>
      <c r="B41" s="1733"/>
      <c r="C41" s="1197"/>
      <c r="D41" s="1699"/>
      <c r="E41" s="1699"/>
      <c r="F41" s="1699"/>
      <c r="G41" s="1699"/>
      <c r="H41" s="1727"/>
      <c r="I41" s="1727"/>
      <c r="J41" s="1237"/>
      <c r="K41" s="1252"/>
      <c r="L41" s="1289">
        <f t="shared" si="2"/>
        <v>0</v>
      </c>
    </row>
    <row r="42" spans="1:14" s="1271" customFormat="1" ht="14.1" customHeight="1" x14ac:dyDescent="0.25">
      <c r="A42" s="1338"/>
      <c r="B42" s="1339"/>
      <c r="C42" s="1193"/>
      <c r="D42" s="1739"/>
      <c r="E42" s="1739"/>
      <c r="F42" s="1739"/>
      <c r="G42" s="1739"/>
      <c r="H42" s="1706"/>
      <c r="I42" s="1706"/>
      <c r="J42" s="1340"/>
      <c r="K42" s="1341"/>
      <c r="L42" s="1291">
        <f t="shared" si="2"/>
        <v>0</v>
      </c>
    </row>
    <row r="43" spans="1:14" s="1271" customFormat="1" ht="14.1" customHeight="1" x14ac:dyDescent="0.25">
      <c r="A43" s="1738" t="s">
        <v>491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253">
        <f>ROUND(SUM(L38:L42),4)</f>
        <v>467.36619999999999</v>
      </c>
    </row>
    <row r="44" spans="1:14" s="1272" customFormat="1" ht="3" customHeight="1" x14ac:dyDescent="0.25">
      <c r="A44" s="1738"/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43"/>
    </row>
    <row r="45" spans="1:14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4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4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4" s="1271" customFormat="1" ht="14.1" customHeight="1" x14ac:dyDescent="0.25">
      <c r="A48" s="1740"/>
      <c r="B48" s="1710"/>
      <c r="C48" s="1711"/>
      <c r="D48" s="1712"/>
      <c r="E48" s="1712"/>
      <c r="F48" s="1713"/>
      <c r="G48" s="1714"/>
      <c r="H48" s="1245" t="s">
        <v>497</v>
      </c>
      <c r="I48" s="1352"/>
      <c r="J48" s="1352"/>
      <c r="K48" s="1352"/>
      <c r="L48" s="1715">
        <f>ROUND(G48*($I$47*I49+$J$47*J49+$K$47*K49),4)</f>
        <v>0</v>
      </c>
    </row>
    <row r="49" spans="1:12" s="1271" customFormat="1" ht="14.1" customHeight="1" x14ac:dyDescent="0.25">
      <c r="A49" s="1740"/>
      <c r="B49" s="1710"/>
      <c r="C49" s="1711"/>
      <c r="D49" s="1712"/>
      <c r="E49" s="1712"/>
      <c r="F49" s="1713"/>
      <c r="G49" s="1714"/>
      <c r="H49" s="1247" t="s">
        <v>498</v>
      </c>
      <c r="I49" s="1353"/>
      <c r="J49" s="1353"/>
      <c r="K49" s="1353"/>
      <c r="L49" s="1715"/>
    </row>
    <row r="50" spans="1:12" s="1271" customFormat="1" ht="14.1" customHeight="1" x14ac:dyDescent="0.25">
      <c r="A50" s="1318"/>
      <c r="B50" s="1319"/>
      <c r="C50" s="1197"/>
      <c r="D50" s="1204"/>
      <c r="E50" s="1204"/>
      <c r="F50" s="1198"/>
      <c r="G50" s="1199"/>
      <c r="H50" s="1354"/>
      <c r="I50" s="1354"/>
      <c r="J50" s="1251"/>
      <c r="K50" s="1343"/>
      <c r="L50" s="1202"/>
    </row>
    <row r="51" spans="1:12" s="1271" customFormat="1" ht="14.1" customHeight="1" x14ac:dyDescent="0.25">
      <c r="A51" s="1216"/>
      <c r="B51" s="1204"/>
      <c r="C51" s="1197"/>
      <c r="D51" s="1217"/>
      <c r="E51" s="1217"/>
      <c r="F51" s="1217"/>
      <c r="G51" s="1205"/>
      <c r="H51" s="1344"/>
      <c r="I51" s="1344"/>
      <c r="J51" s="1251"/>
      <c r="K51" s="1345"/>
      <c r="L51" s="1202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34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ROUND(L34+L43+L52,4)</f>
        <v>467.36619999999999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119.5055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586.87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17" t="s">
        <v>583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701"/>
      <c r="D59" s="1701"/>
      <c r="E59" s="1701"/>
      <c r="F59" s="1701"/>
      <c r="G59" s="1701"/>
      <c r="H59" s="1701"/>
      <c r="I59" s="1701"/>
      <c r="J59" s="1701"/>
      <c r="K59" s="1701"/>
      <c r="L59" s="1701"/>
    </row>
    <row r="60" spans="1:12" s="1271" customFormat="1" ht="20.25" customHeight="1" x14ac:dyDescent="0.25">
      <c r="A60" s="1267"/>
      <c r="B60" s="1268"/>
      <c r="C60" s="1268"/>
      <c r="D60" s="1268"/>
      <c r="E60" s="1268"/>
      <c r="F60" s="1268"/>
      <c r="G60" s="1268"/>
      <c r="H60" s="1268"/>
      <c r="I60" s="1268"/>
      <c r="J60" s="1268"/>
      <c r="K60" s="1268"/>
      <c r="L60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8">
    <mergeCell ref="C59:L59"/>
    <mergeCell ref="L45:L47"/>
    <mergeCell ref="A48:A49"/>
    <mergeCell ref="B48:B49"/>
    <mergeCell ref="C48:C49"/>
    <mergeCell ref="D48:E49"/>
    <mergeCell ref="F48:F49"/>
    <mergeCell ref="G48:G49"/>
    <mergeCell ref="L48:L49"/>
    <mergeCell ref="A52:K52"/>
    <mergeCell ref="A54:K54"/>
    <mergeCell ref="A55:J55"/>
    <mergeCell ref="A56:K56"/>
    <mergeCell ref="C58:L58"/>
    <mergeCell ref="D42:G42"/>
    <mergeCell ref="H42:I42"/>
    <mergeCell ref="A43:K44"/>
    <mergeCell ref="A45:F47"/>
    <mergeCell ref="G45:G47"/>
    <mergeCell ref="H45:K45"/>
    <mergeCell ref="A40:B40"/>
    <mergeCell ref="D40:G40"/>
    <mergeCell ref="H40:I40"/>
    <mergeCell ref="A41:B41"/>
    <mergeCell ref="D41:G41"/>
    <mergeCell ref="H41:I41"/>
    <mergeCell ref="A38:B38"/>
    <mergeCell ref="D38:G38"/>
    <mergeCell ref="H38:I38"/>
    <mergeCell ref="A39:B39"/>
    <mergeCell ref="D39:G39"/>
    <mergeCell ref="H39:I39"/>
    <mergeCell ref="A27:K27"/>
    <mergeCell ref="A34:H34"/>
    <mergeCell ref="I34:K34"/>
    <mergeCell ref="A36:G37"/>
    <mergeCell ref="H36:I37"/>
    <mergeCell ref="J36:J37"/>
    <mergeCell ref="D25:I25"/>
    <mergeCell ref="A8:L8"/>
    <mergeCell ref="A9:D9"/>
    <mergeCell ref="E9:L9"/>
    <mergeCell ref="A12:L13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A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65536"/>
  <sheetViews>
    <sheetView view="pageBreakPreview" topLeftCell="A40" zoomScale="80" zoomScaleNormal="80" zoomScaleSheetLayoutView="8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'6.5'!A3:K3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'6.5'!A4:K4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206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7.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737" t="str">
        <f>'[1]Planilha orçamentária'!E9</f>
        <v>Construção / Recuperação e complementação de estradas vicinais</v>
      </c>
      <c r="F10" s="1737"/>
      <c r="G10" s="1737"/>
      <c r="H10" s="1737"/>
      <c r="I10" s="1737"/>
      <c r="J10" s="1737"/>
      <c r="K10" s="1737"/>
      <c r="L10" s="1737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188" t="str">
        <f>'[1]Planilha orçamentária'!B105</f>
        <v>6.22</v>
      </c>
      <c r="E16" s="1349" t="s">
        <v>584</v>
      </c>
      <c r="F16" s="1350"/>
      <c r="G16" s="1349"/>
      <c r="H16" s="1350"/>
      <c r="I16" s="1350"/>
      <c r="J16" s="1351"/>
      <c r="K16" s="1189" t="s">
        <v>417</v>
      </c>
      <c r="L16" s="1190" t="s">
        <v>418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14.1" customHeight="1" x14ac:dyDescent="0.25">
      <c r="A20" s="1195"/>
      <c r="B20" s="1273"/>
      <c r="C20" s="1197"/>
      <c r="D20" s="1719"/>
      <c r="E20" s="1719"/>
      <c r="F20" s="1719"/>
      <c r="G20" s="1199"/>
      <c r="H20" s="1200"/>
      <c r="I20" s="1201"/>
      <c r="J20" s="1289"/>
      <c r="K20" s="1289"/>
      <c r="L20" s="1289">
        <f t="shared" ref="L20:L21" si="0">ROUND((G20*H20*J20)+(G20*I20*K20),4)</f>
        <v>0</v>
      </c>
    </row>
    <row r="21" spans="1:14" s="1271" customFormat="1" ht="14.1" customHeight="1" x14ac:dyDescent="0.25">
      <c r="A21" s="1203"/>
      <c r="B21" s="1204"/>
      <c r="C21" s="1197"/>
      <c r="D21" s="1204"/>
      <c r="E21" s="1204"/>
      <c r="F21" s="1204"/>
      <c r="G21" s="1205"/>
      <c r="H21" s="1200"/>
      <c r="I21" s="1201"/>
      <c r="J21" s="1301"/>
      <c r="K21" s="1300"/>
      <c r="L21" s="1289">
        <f t="shared" si="0"/>
        <v>0</v>
      </c>
    </row>
    <row r="22" spans="1:14" s="1271" customFormat="1" ht="14.1" customHeight="1" x14ac:dyDescent="0.25">
      <c r="A22" s="1702" t="s">
        <v>476</v>
      </c>
      <c r="B22" s="1702"/>
      <c r="C22" s="1702"/>
      <c r="D22" s="1702"/>
      <c r="E22" s="1702"/>
      <c r="F22" s="1702"/>
      <c r="G22" s="1702"/>
      <c r="H22" s="1702"/>
      <c r="I22" s="1702"/>
      <c r="J22" s="1702"/>
      <c r="K22" s="1702"/>
      <c r="L22" s="1208">
        <f>ROUND(SUM(L20:L21),4)</f>
        <v>0</v>
      </c>
    </row>
    <row r="23" spans="1:14" s="1271" customFormat="1" ht="3" customHeight="1" x14ac:dyDescent="0.25">
      <c r="A23" s="1209"/>
      <c r="B23" s="1209"/>
      <c r="C23" s="1209"/>
      <c r="D23" s="1209"/>
      <c r="E23" s="1209"/>
      <c r="F23" s="1209"/>
      <c r="G23" s="1209"/>
      <c r="H23" s="1210"/>
      <c r="I23" s="1210"/>
      <c r="J23" s="1210"/>
      <c r="K23" s="1210"/>
      <c r="L23" s="1210"/>
    </row>
    <row r="24" spans="1:14" s="1271" customFormat="1" ht="14.1" customHeight="1" x14ac:dyDescent="0.25">
      <c r="A24" s="1696" t="s">
        <v>439</v>
      </c>
      <c r="B24" s="1696"/>
      <c r="C24" s="1696"/>
      <c r="D24" s="1696"/>
      <c r="E24" s="1696"/>
      <c r="F24" s="1696"/>
      <c r="G24" s="1696"/>
      <c r="H24" s="1696"/>
      <c r="I24" s="1696"/>
      <c r="J24" s="1697" t="s">
        <v>164</v>
      </c>
      <c r="K24" s="1703" t="s">
        <v>477</v>
      </c>
      <c r="L24" s="1192" t="s">
        <v>441</v>
      </c>
    </row>
    <row r="25" spans="1:14" s="1271" customFormat="1" ht="14.1" customHeight="1" x14ac:dyDescent="0.25">
      <c r="A25" s="1696"/>
      <c r="B25" s="1696"/>
      <c r="C25" s="1696"/>
      <c r="D25" s="1696"/>
      <c r="E25" s="1696"/>
      <c r="F25" s="1696"/>
      <c r="G25" s="1696"/>
      <c r="H25" s="1696"/>
      <c r="I25" s="1696"/>
      <c r="J25" s="1697"/>
      <c r="K25" s="1703"/>
      <c r="L25" s="1194" t="s">
        <v>475</v>
      </c>
    </row>
    <row r="26" spans="1:14" s="1271" customFormat="1" ht="14.1" customHeight="1" x14ac:dyDescent="0.25">
      <c r="A26" s="1306"/>
      <c r="B26" s="1196"/>
      <c r="C26" s="1197"/>
      <c r="D26" s="1722"/>
      <c r="E26" s="1722"/>
      <c r="F26" s="1722"/>
      <c r="G26" s="1722"/>
      <c r="H26" s="1722"/>
      <c r="I26" s="1722"/>
      <c r="J26" s="1213"/>
      <c r="K26" s="1311"/>
      <c r="L26" s="1293">
        <f t="shared" ref="L26:L27" si="1">ROUND(J26*K26,4)</f>
        <v>0</v>
      </c>
      <c r="N26" s="1274"/>
    </row>
    <row r="27" spans="1:14" s="1271" customFormat="1" ht="14.1" customHeight="1" x14ac:dyDescent="0.25">
      <c r="A27" s="1216"/>
      <c r="B27" s="1217"/>
      <c r="C27" s="1217"/>
      <c r="D27" s="1217"/>
      <c r="E27" s="1217"/>
      <c r="F27" s="1217"/>
      <c r="G27" s="1173"/>
      <c r="H27" s="1193"/>
      <c r="I27" s="1218"/>
      <c r="J27" s="1219"/>
      <c r="K27" s="1302"/>
      <c r="L27" s="1215">
        <f t="shared" si="1"/>
        <v>0</v>
      </c>
    </row>
    <row r="28" spans="1:14" s="1271" customFormat="1" ht="9.4499999999999993" customHeight="1" x14ac:dyDescent="0.25">
      <c r="A28" s="1702" t="s">
        <v>478</v>
      </c>
      <c r="B28" s="1702"/>
      <c r="C28" s="1702"/>
      <c r="D28" s="1702"/>
      <c r="E28" s="1702"/>
      <c r="F28" s="1702"/>
      <c r="G28" s="1702"/>
      <c r="H28" s="1702"/>
      <c r="I28" s="1702"/>
      <c r="J28" s="1702"/>
      <c r="K28" s="1702"/>
      <c r="L28" s="1208">
        <f>ROUND(SUM(L26:L27),4)</f>
        <v>0</v>
      </c>
    </row>
    <row r="29" spans="1:14" s="1272" customFormat="1" ht="3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10"/>
      <c r="L29" s="1229"/>
    </row>
    <row r="30" spans="1:14" s="1272" customFormat="1" ht="14.1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20" t="s">
        <v>479</v>
      </c>
      <c r="L30" s="1294">
        <f>L22+L28</f>
        <v>0</v>
      </c>
    </row>
    <row r="31" spans="1:14" s="1272" customFormat="1" ht="14.1" customHeight="1" x14ac:dyDescent="0.25">
      <c r="A31" s="1222" t="s">
        <v>480</v>
      </c>
      <c r="B31" s="1209"/>
      <c r="C31" s="1209"/>
      <c r="D31" s="1209"/>
      <c r="E31" s="1209"/>
      <c r="F31" s="1223">
        <v>1</v>
      </c>
      <c r="G31" s="1276" t="str">
        <f>L16</f>
        <v xml:space="preserve">un </v>
      </c>
      <c r="H31" s="1222"/>
      <c r="I31" s="1209"/>
      <c r="J31" s="1225"/>
      <c r="K31" s="1226" t="s">
        <v>481</v>
      </c>
      <c r="L31" s="1208">
        <f>ROUND(L30/F31,4)</f>
        <v>0</v>
      </c>
    </row>
    <row r="32" spans="1:14" s="1272" customFormat="1" ht="14.1" customHeight="1" x14ac:dyDescent="0.25">
      <c r="A32" s="1222"/>
      <c r="B32" s="1209" t="s">
        <v>482</v>
      </c>
      <c r="C32" s="1209"/>
      <c r="D32" s="1209"/>
      <c r="E32" s="1209"/>
      <c r="F32" s="1223"/>
      <c r="G32" s="1224"/>
      <c r="H32" s="1222"/>
      <c r="I32" s="1209"/>
      <c r="J32" s="1225"/>
      <c r="K32" s="1220" t="s">
        <v>483</v>
      </c>
      <c r="L32" s="1208">
        <f>ROUND(L31*F32,4)</f>
        <v>0</v>
      </c>
    </row>
    <row r="33" spans="1:12" s="1272" customFormat="1" ht="14.1" customHeight="1" x14ac:dyDescent="0.25">
      <c r="A33" s="1222"/>
      <c r="B33" s="1209" t="s">
        <v>484</v>
      </c>
      <c r="C33" s="1209"/>
      <c r="D33" s="1209"/>
      <c r="E33" s="1209"/>
      <c r="F33" s="1227"/>
      <c r="G33" s="1224"/>
      <c r="H33" s="1225"/>
      <c r="I33" s="1228"/>
      <c r="J33" s="1210"/>
      <c r="K33" s="1220" t="s">
        <v>485</v>
      </c>
      <c r="L33" s="1292">
        <f>ROUND(L31*F33,4)</f>
        <v>0</v>
      </c>
    </row>
    <row r="34" spans="1:12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95"/>
    </row>
    <row r="35" spans="1:12" s="1271" customFormat="1" ht="14.1" customHeight="1" x14ac:dyDescent="0.25">
      <c r="A35" s="1696" t="s">
        <v>486</v>
      </c>
      <c r="B35" s="1696"/>
      <c r="C35" s="1696"/>
      <c r="D35" s="1696"/>
      <c r="E35" s="1696"/>
      <c r="F35" s="1696"/>
      <c r="G35" s="1696"/>
      <c r="H35" s="1696"/>
      <c r="I35" s="1704" t="s">
        <v>487</v>
      </c>
      <c r="J35" s="1704"/>
      <c r="K35" s="1704"/>
      <c r="L35" s="1296">
        <f>ROUND(SUM(L31:L34),4)</f>
        <v>0</v>
      </c>
    </row>
    <row r="36" spans="1:12" s="1272" customFormat="1" ht="3" customHeight="1" x14ac:dyDescent="0.25">
      <c r="A36" s="710"/>
      <c r="B36" s="710"/>
      <c r="C36" s="710"/>
      <c r="D36" s="710"/>
      <c r="E36" s="710"/>
      <c r="F36" s="710"/>
      <c r="G36" s="1231"/>
      <c r="H36" s="1231"/>
      <c r="I36" s="1232"/>
      <c r="J36" s="1232"/>
      <c r="K36" s="1232"/>
      <c r="L36" s="710"/>
    </row>
    <row r="37" spans="1:12" s="1271" customFormat="1" ht="14.1" customHeight="1" x14ac:dyDescent="0.25">
      <c r="A37" s="1696" t="s">
        <v>488</v>
      </c>
      <c r="B37" s="1696"/>
      <c r="C37" s="1696"/>
      <c r="D37" s="1696"/>
      <c r="E37" s="1696"/>
      <c r="F37" s="1696"/>
      <c r="G37" s="1696"/>
      <c r="H37" s="1697" t="s">
        <v>164</v>
      </c>
      <c r="I37" s="1697"/>
      <c r="J37" s="1697" t="s">
        <v>163</v>
      </c>
      <c r="K37" s="1192" t="s">
        <v>489</v>
      </c>
      <c r="L37" s="1192" t="s">
        <v>472</v>
      </c>
    </row>
    <row r="38" spans="1:12" s="1271" customFormat="1" ht="14.1" customHeight="1" x14ac:dyDescent="0.25">
      <c r="A38" s="1696"/>
      <c r="B38" s="1696"/>
      <c r="C38" s="1696"/>
      <c r="D38" s="1696"/>
      <c r="E38" s="1696"/>
      <c r="F38" s="1696"/>
      <c r="G38" s="1696"/>
      <c r="H38" s="1697"/>
      <c r="I38" s="1697"/>
      <c r="J38" s="1697"/>
      <c r="K38" s="1233" t="s">
        <v>490</v>
      </c>
      <c r="L38" s="1194" t="s">
        <v>490</v>
      </c>
    </row>
    <row r="39" spans="1:12" s="1271" customFormat="1" ht="24.9" customHeight="1" x14ac:dyDescent="0.25">
      <c r="A39" s="1726" t="str">
        <f>CONCATENATE('[1]A004-Forma.Comum'!L6," ",'[1]A004-Forma.Comum'!L7)</f>
        <v>INCRA A 004</v>
      </c>
      <c r="B39" s="1726"/>
      <c r="C39" s="1197" t="s">
        <v>434</v>
      </c>
      <c r="D39" s="1720" t="str">
        <f>'[1]A004-Forma.Comum'!E18</f>
        <v>Formas de tábuas de pinho - utilização de 3 vezes - fornecimento, instalação e retirada</v>
      </c>
      <c r="E39" s="1720"/>
      <c r="F39" s="1720"/>
      <c r="G39" s="1720"/>
      <c r="H39" s="1727">
        <f>'[1]Vol. Bueiro100'!H7</f>
        <v>9.0662000000000003</v>
      </c>
      <c r="I39" s="1727"/>
      <c r="J39" s="1237" t="str">
        <f>'[1]A004-Forma.Comum'!L18</f>
        <v>m²</v>
      </c>
      <c r="K39" s="1252">
        <v>77.47999999999999</v>
      </c>
      <c r="L39" s="1289">
        <f t="shared" ref="L39:L43" si="2">ROUND(H39*K39,4)</f>
        <v>702.44920000000002</v>
      </c>
    </row>
    <row r="40" spans="1:12" s="1271" customFormat="1" ht="14.1" customHeight="1" x14ac:dyDescent="0.25">
      <c r="A40" s="1733" t="str">
        <f>CONCATENATE('[1]A005-Argamassa.1-3'!L6," ",'[1]A005-Argamassa.1-3'!L7)</f>
        <v>INCRA A 005</v>
      </c>
      <c r="B40" s="1733"/>
      <c r="C40" s="1197" t="s">
        <v>434</v>
      </c>
      <c r="D40" s="1699" t="str">
        <f>'[1]A005-Argamassa.1-3'!E18</f>
        <v>Argamassa de cimento e areia 1:3 - areia comercial</v>
      </c>
      <c r="E40" s="1699"/>
      <c r="F40" s="1699"/>
      <c r="G40" s="1699"/>
      <c r="H40" s="1727">
        <v>2.8459999999999999E-2</v>
      </c>
      <c r="I40" s="1727"/>
      <c r="J40" s="1237" t="str">
        <f>'[1]A006-Argamassa.1-4'!L18</f>
        <v>m³</v>
      </c>
      <c r="K40" s="1252">
        <v>355.79</v>
      </c>
      <c r="L40" s="1289">
        <f t="shared" si="2"/>
        <v>10.1258</v>
      </c>
    </row>
    <row r="41" spans="1:12" s="1271" customFormat="1" ht="24.9" customHeight="1" x14ac:dyDescent="0.25">
      <c r="A41" s="1733" t="str">
        <f>CONCATENATE('[1]A010-Conc.Cicl.20MPa'!L6," ",'[1]A010-Conc.Cicl.20MPa'!L7)</f>
        <v>INCRA A 010</v>
      </c>
      <c r="B41" s="1733"/>
      <c r="C41" s="1197" t="s">
        <v>434</v>
      </c>
      <c r="D41" s="1720" t="str">
        <f>'[1]A010-Conc.Cicl.20MPa'!E18</f>
        <v>Concreto ciclópico fck = 20 MPa - confecção em betoneira e lançamento manual - areia, brita e pedra de mão comerciais</v>
      </c>
      <c r="E41" s="1720"/>
      <c r="F41" s="1720"/>
      <c r="G41" s="1720"/>
      <c r="H41" s="1727">
        <f>'[1]Vol. Bueiro100'!I7</f>
        <v>1.3915</v>
      </c>
      <c r="I41" s="1727"/>
      <c r="J41" s="1237" t="str">
        <f>'[1]A010-Conc.Cicl.20MPa'!L18</f>
        <v>m³</v>
      </c>
      <c r="K41" s="1252">
        <v>328.53000000000003</v>
      </c>
      <c r="L41" s="1289">
        <f t="shared" si="2"/>
        <v>457.14949999999999</v>
      </c>
    </row>
    <row r="42" spans="1:12" s="1271" customFormat="1" ht="14.1" customHeight="1" x14ac:dyDescent="0.25">
      <c r="A42" s="1733"/>
      <c r="B42" s="1733"/>
      <c r="C42" s="1197"/>
      <c r="D42" s="1699"/>
      <c r="E42" s="1699"/>
      <c r="F42" s="1699"/>
      <c r="G42" s="1699"/>
      <c r="H42" s="1727"/>
      <c r="I42" s="1727"/>
      <c r="J42" s="1237"/>
      <c r="K42" s="1252"/>
      <c r="L42" s="1289">
        <f t="shared" si="2"/>
        <v>0</v>
      </c>
    </row>
    <row r="43" spans="1:12" s="1271" customFormat="1" ht="14.1" customHeight="1" x14ac:dyDescent="0.25">
      <c r="A43" s="1338"/>
      <c r="B43" s="1339"/>
      <c r="C43" s="1193"/>
      <c r="D43" s="1739"/>
      <c r="E43" s="1739"/>
      <c r="F43" s="1739"/>
      <c r="G43" s="1739"/>
      <c r="H43" s="1706"/>
      <c r="I43" s="1706"/>
      <c r="J43" s="1340"/>
      <c r="K43" s="1341"/>
      <c r="L43" s="1291">
        <f t="shared" si="2"/>
        <v>0</v>
      </c>
    </row>
    <row r="44" spans="1:12" s="1271" customFormat="1" ht="14.1" customHeight="1" x14ac:dyDescent="0.25">
      <c r="A44" s="1738" t="s">
        <v>491</v>
      </c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53">
        <f>ROUND(SUM(L39:L43),4)</f>
        <v>1169.7245</v>
      </c>
    </row>
    <row r="45" spans="1:12" s="1272" customFormat="1" ht="9.4499999999999993" customHeight="1" x14ac:dyDescent="0.25">
      <c r="A45" s="1738"/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243"/>
    </row>
    <row r="46" spans="1:12" s="1271" customFormat="1" ht="14.1" customHeight="1" x14ac:dyDescent="0.25">
      <c r="A46" s="1696" t="s">
        <v>492</v>
      </c>
      <c r="B46" s="1696"/>
      <c r="C46" s="1696"/>
      <c r="D46" s="1696"/>
      <c r="E46" s="1696"/>
      <c r="F46" s="1696"/>
      <c r="G46" s="1703" t="s">
        <v>493</v>
      </c>
      <c r="H46" s="1697" t="s">
        <v>494</v>
      </c>
      <c r="I46" s="1697"/>
      <c r="J46" s="1697"/>
      <c r="K46" s="1697"/>
      <c r="L46" s="1697" t="s">
        <v>495</v>
      </c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211" t="s">
        <v>110</v>
      </c>
      <c r="I47" s="1218" t="s">
        <v>302</v>
      </c>
      <c r="J47" s="1194" t="s">
        <v>305</v>
      </c>
      <c r="K47" s="1233" t="s">
        <v>307</v>
      </c>
      <c r="L47" s="1697"/>
    </row>
    <row r="48" spans="1:12" s="1271" customFormat="1" ht="14.1" customHeight="1" x14ac:dyDescent="0.25">
      <c r="A48" s="1696"/>
      <c r="B48" s="1696"/>
      <c r="C48" s="1696"/>
      <c r="D48" s="1696"/>
      <c r="E48" s="1696"/>
      <c r="F48" s="1696"/>
      <c r="G48" s="1703"/>
      <c r="H48" s="1191" t="s">
        <v>496</v>
      </c>
      <c r="I48" s="1244"/>
      <c r="J48" s="1244"/>
      <c r="K48" s="1244"/>
      <c r="L48" s="1697"/>
    </row>
    <row r="49" spans="1:12" s="1271" customFormat="1" ht="14.1" customHeight="1" x14ac:dyDescent="0.25">
      <c r="A49" s="1740"/>
      <c r="B49" s="1710"/>
      <c r="C49" s="1711"/>
      <c r="D49" s="1712"/>
      <c r="E49" s="1712"/>
      <c r="F49" s="1713"/>
      <c r="G49" s="1714"/>
      <c r="H49" s="1245" t="s">
        <v>497</v>
      </c>
      <c r="I49" s="1352"/>
      <c r="J49" s="1352"/>
      <c r="K49" s="1352"/>
      <c r="L49" s="1715">
        <f>ROUND(G49*($I$48*I50+$J$48*J50+$K$48*K50),4)</f>
        <v>0</v>
      </c>
    </row>
    <row r="50" spans="1:12" s="1271" customFormat="1" ht="14.1" customHeight="1" x14ac:dyDescent="0.25">
      <c r="A50" s="1740"/>
      <c r="B50" s="1710"/>
      <c r="C50" s="1711"/>
      <c r="D50" s="1712"/>
      <c r="E50" s="1712"/>
      <c r="F50" s="1713"/>
      <c r="G50" s="1714"/>
      <c r="H50" s="1247" t="s">
        <v>498</v>
      </c>
      <c r="I50" s="1353"/>
      <c r="J50" s="1353"/>
      <c r="K50" s="1353"/>
      <c r="L50" s="1715"/>
    </row>
    <row r="51" spans="1:12" s="1271" customFormat="1" ht="7.5" customHeight="1" x14ac:dyDescent="0.25">
      <c r="A51" s="1318"/>
      <c r="B51" s="1319"/>
      <c r="C51" s="1197"/>
      <c r="D51" s="1701"/>
      <c r="E51" s="1701"/>
      <c r="F51" s="1701"/>
      <c r="G51" s="1199"/>
      <c r="H51" s="1354"/>
      <c r="I51" s="1354"/>
      <c r="J51" s="1251"/>
      <c r="K51" s="1343"/>
      <c r="L51" s="1202"/>
    </row>
    <row r="52" spans="1:12" s="1271" customFormat="1" ht="9" customHeight="1" x14ac:dyDescent="0.25">
      <c r="A52" s="1216"/>
      <c r="B52" s="1204"/>
      <c r="C52" s="1197"/>
      <c r="D52" s="1217"/>
      <c r="E52" s="1217"/>
      <c r="F52" s="1217"/>
      <c r="G52" s="1205"/>
      <c r="H52" s="1344"/>
      <c r="I52" s="1344"/>
      <c r="J52" s="1251"/>
      <c r="K52" s="1345"/>
      <c r="L52" s="1202"/>
    </row>
    <row r="53" spans="1:12" s="1271" customFormat="1" ht="14.1" customHeight="1" x14ac:dyDescent="0.25">
      <c r="A53" s="1707" t="s">
        <v>499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ROUND(SUM(L49:L52),4)</f>
        <v>0</v>
      </c>
    </row>
    <row r="54" spans="1:12" s="1271" customFormat="1" ht="3" customHeight="1" x14ac:dyDescent="0.25">
      <c r="A54" s="1254"/>
      <c r="B54" s="1254"/>
      <c r="C54" s="1254"/>
      <c r="D54" s="1254"/>
      <c r="E54" s="1254"/>
      <c r="F54" s="1254"/>
      <c r="G54" s="1241"/>
      <c r="H54" s="1255"/>
      <c r="I54" s="1255"/>
      <c r="J54" s="1256"/>
      <c r="K54" s="1257"/>
      <c r="L54" s="1348"/>
    </row>
    <row r="55" spans="1:12" s="1271" customFormat="1" ht="15" customHeight="1" x14ac:dyDescent="0.25">
      <c r="A55" s="1707" t="s">
        <v>448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253">
        <f>ROUND(L35+L44+L53,4)</f>
        <v>1169.7245</v>
      </c>
    </row>
    <row r="56" spans="1:12" s="1271" customFormat="1" ht="15" customHeight="1" x14ac:dyDescent="0.25">
      <c r="A56" s="1716" t="s">
        <v>449</v>
      </c>
      <c r="B56" s="1716"/>
      <c r="C56" s="1716"/>
      <c r="D56" s="1716"/>
      <c r="E56" s="1716"/>
      <c r="F56" s="1716"/>
      <c r="G56" s="1716"/>
      <c r="H56" s="1716"/>
      <c r="I56" s="1716"/>
      <c r="J56" s="1716"/>
      <c r="K56" s="1259">
        <f>[1]LDI!I34</f>
        <v>0.25569999999999998</v>
      </c>
      <c r="L56" s="1298">
        <f>ROUND(L55*K56,4)</f>
        <v>299.09859999999998</v>
      </c>
    </row>
    <row r="57" spans="1:12" s="1271" customFormat="1" ht="20.100000000000001" customHeight="1" x14ac:dyDescent="0.25">
      <c r="A57" s="1704" t="s">
        <v>450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260">
        <f>ROUND(L55+L56,2)</f>
        <v>1468.82</v>
      </c>
    </row>
    <row r="58" spans="1:12" s="1271" customFormat="1" ht="3" customHeight="1" x14ac:dyDescent="0.25">
      <c r="A58" s="1261"/>
      <c r="B58" s="1261"/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</row>
    <row r="59" spans="1:12" s="1271" customFormat="1" ht="21.75" customHeight="1" x14ac:dyDescent="0.25">
      <c r="A59" s="1262" t="s">
        <v>451</v>
      </c>
      <c r="B59" s="1263"/>
      <c r="C59" s="1717" t="s">
        <v>585</v>
      </c>
      <c r="D59" s="1717"/>
      <c r="E59" s="1717"/>
      <c r="F59" s="1717"/>
      <c r="G59" s="1717"/>
      <c r="H59" s="1717"/>
      <c r="I59" s="1717"/>
      <c r="J59" s="1717"/>
      <c r="K59" s="1717"/>
      <c r="L59" s="1717"/>
    </row>
    <row r="60" spans="1:12" s="1271" customFormat="1" ht="20.25" customHeight="1" x14ac:dyDescent="0.25">
      <c r="A60" s="1264"/>
      <c r="B60" s="1265"/>
      <c r="C60" s="1265"/>
      <c r="D60" s="1265"/>
      <c r="E60" s="1265"/>
      <c r="F60" s="1265"/>
      <c r="G60" s="1265"/>
      <c r="H60" s="1265"/>
      <c r="I60" s="1265"/>
      <c r="J60" s="1265"/>
      <c r="K60" s="1265"/>
      <c r="L60" s="1266"/>
    </row>
    <row r="61" spans="1:12" s="1271" customFormat="1" ht="7.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8">
    <mergeCell ref="C59:L59"/>
    <mergeCell ref="L46:L48"/>
    <mergeCell ref="A49:A50"/>
    <mergeCell ref="B49:B50"/>
    <mergeCell ref="C49:C50"/>
    <mergeCell ref="D49:E50"/>
    <mergeCell ref="F49:F50"/>
    <mergeCell ref="G49:G50"/>
    <mergeCell ref="L49:L50"/>
    <mergeCell ref="D51:F51"/>
    <mergeCell ref="A53:K53"/>
    <mergeCell ref="A55:K55"/>
    <mergeCell ref="A56:J56"/>
    <mergeCell ref="A57:K57"/>
    <mergeCell ref="D43:G43"/>
    <mergeCell ref="H43:I43"/>
    <mergeCell ref="A44:K45"/>
    <mergeCell ref="A46:F48"/>
    <mergeCell ref="G46:G48"/>
    <mergeCell ref="H46:K46"/>
    <mergeCell ref="A41:B41"/>
    <mergeCell ref="D41:G41"/>
    <mergeCell ref="H41:I41"/>
    <mergeCell ref="A42:B42"/>
    <mergeCell ref="D42:G42"/>
    <mergeCell ref="H42:I42"/>
    <mergeCell ref="A39:B39"/>
    <mergeCell ref="D39:G39"/>
    <mergeCell ref="H39:I39"/>
    <mergeCell ref="A40:B40"/>
    <mergeCell ref="D40:G40"/>
    <mergeCell ref="H40:I40"/>
    <mergeCell ref="A28:K28"/>
    <mergeCell ref="A35:H35"/>
    <mergeCell ref="I35:K35"/>
    <mergeCell ref="A37:G38"/>
    <mergeCell ref="H37:I38"/>
    <mergeCell ref="J37:J38"/>
    <mergeCell ref="D26:I26"/>
    <mergeCell ref="A8:L8"/>
    <mergeCell ref="A10:D10"/>
    <mergeCell ref="E10:L10"/>
    <mergeCell ref="A13:L14"/>
    <mergeCell ref="A18:F19"/>
    <mergeCell ref="G18:G19"/>
    <mergeCell ref="H18:I18"/>
    <mergeCell ref="J18:K18"/>
    <mergeCell ref="D20:F20"/>
    <mergeCell ref="A22:K22"/>
    <mergeCell ref="A24:I25"/>
    <mergeCell ref="J24:J25"/>
    <mergeCell ref="K24:K25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1B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65536"/>
  <sheetViews>
    <sheetView view="pageBreakPreview" zoomScale="60" zoomScaleNormal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'6.6'!A3:K3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29" t="str">
        <f>'6.6'!A4:K4</f>
        <v>20.129.307/0001-02</v>
      </c>
      <c r="B4" s="1829"/>
      <c r="C4" s="1829"/>
      <c r="D4" s="1829"/>
      <c r="E4" s="1829"/>
      <c r="F4" s="1829"/>
      <c r="G4" s="1829"/>
      <c r="H4" s="1829"/>
      <c r="I4" s="1829"/>
      <c r="J4" s="1829"/>
      <c r="K4" s="1829"/>
      <c r="L4" s="1171"/>
    </row>
    <row r="5" spans="1:12" ht="6.75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207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6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188" t="str">
        <f>'[1]Planilha orçamentária'!B109</f>
        <v>6.26</v>
      </c>
      <c r="E15" s="1349" t="s">
        <v>586</v>
      </c>
      <c r="F15" s="1349"/>
      <c r="G15" s="1349"/>
      <c r="H15" s="1349"/>
      <c r="I15" s="1349"/>
      <c r="J15" s="1190"/>
      <c r="K15" s="1189" t="s">
        <v>417</v>
      </c>
      <c r="L15" s="1190" t="s">
        <v>418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15.75" customHeight="1" x14ac:dyDescent="0.25">
      <c r="A19" s="1195"/>
      <c r="B19" s="1273"/>
      <c r="C19" s="1197"/>
      <c r="D19" s="1719"/>
      <c r="E19" s="1719"/>
      <c r="F19" s="1719"/>
      <c r="G19" s="1199"/>
      <c r="H19" s="1200"/>
      <c r="I19" s="1201"/>
      <c r="J19" s="1289"/>
      <c r="K19" s="1289"/>
      <c r="L19" s="1289">
        <f t="shared" ref="L19:L20" si="0">ROUND((G19*H19*J19)+(G19*I19*K19),4)</f>
        <v>0</v>
      </c>
    </row>
    <row r="20" spans="1:14" s="1271" customFormat="1" ht="14.1" customHeight="1" x14ac:dyDescent="0.25">
      <c r="A20" s="1203"/>
      <c r="B20" s="1204"/>
      <c r="C20" s="1197"/>
      <c r="D20" s="1204"/>
      <c r="E20" s="1204"/>
      <c r="F20" s="1204"/>
      <c r="G20" s="1205"/>
      <c r="H20" s="1200"/>
      <c r="I20" s="1201"/>
      <c r="J20" s="1301"/>
      <c r="K20" s="130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08">
        <f>ROUND(SUM(L19:L20),4)</f>
        <v>0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306"/>
      <c r="B25" s="1196"/>
      <c r="C25" s="1197"/>
      <c r="D25" s="1722"/>
      <c r="E25" s="1722"/>
      <c r="F25" s="1722"/>
      <c r="G25" s="1722"/>
      <c r="H25" s="1722"/>
      <c r="I25" s="1722"/>
      <c r="J25" s="1213"/>
      <c r="K25" s="1311"/>
      <c r="L25" s="1293">
        <f t="shared" ref="L25:L26" si="1">ROUND(J25*K25,4)</f>
        <v>0</v>
      </c>
      <c r="N25" s="1274"/>
    </row>
    <row r="26" spans="1:14" s="1271" customFormat="1" ht="14.1" customHeight="1" x14ac:dyDescent="0.25">
      <c r="A26" s="1216"/>
      <c r="B26" s="1217"/>
      <c r="C26" s="1217"/>
      <c r="D26" s="1217"/>
      <c r="E26" s="1217"/>
      <c r="F26" s="1217"/>
      <c r="G26" s="1173"/>
      <c r="H26" s="1193"/>
      <c r="I26" s="1218"/>
      <c r="J26" s="1219"/>
      <c r="K26" s="1302"/>
      <c r="L26" s="1215">
        <f t="shared" si="1"/>
        <v>0</v>
      </c>
    </row>
    <row r="27" spans="1:14" s="1271" customFormat="1" ht="14.1" customHeight="1" x14ac:dyDescent="0.25">
      <c r="A27" s="1702" t="s">
        <v>478</v>
      </c>
      <c r="B27" s="1702"/>
      <c r="C27" s="1702"/>
      <c r="D27" s="1702"/>
      <c r="E27" s="1702"/>
      <c r="F27" s="1702"/>
      <c r="G27" s="1702"/>
      <c r="H27" s="1702"/>
      <c r="I27" s="1702"/>
      <c r="J27" s="1702"/>
      <c r="K27" s="1702"/>
      <c r="L27" s="1208">
        <f>ROUND(SUM(L25:L26),4)</f>
        <v>0</v>
      </c>
    </row>
    <row r="28" spans="1:14" s="1272" customFormat="1" ht="9.4499999999999993" customHeight="1" x14ac:dyDescent="0.25">
      <c r="A28" s="1209"/>
      <c r="B28" s="1209"/>
      <c r="C28" s="1209"/>
      <c r="D28" s="1209"/>
      <c r="E28" s="1209"/>
      <c r="F28" s="1209"/>
      <c r="G28" s="1209"/>
      <c r="H28" s="1209"/>
      <c r="I28" s="1209"/>
      <c r="J28" s="1210"/>
      <c r="K28" s="1210"/>
      <c r="L28" s="1229"/>
    </row>
    <row r="29" spans="1:14" s="1272" customFormat="1" ht="14.1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20" t="s">
        <v>479</v>
      </c>
      <c r="L29" s="1294">
        <f>L21+L27</f>
        <v>0</v>
      </c>
    </row>
    <row r="30" spans="1:14" s="1272" customFormat="1" ht="14.1" customHeight="1" x14ac:dyDescent="0.25">
      <c r="A30" s="1222" t="s">
        <v>480</v>
      </c>
      <c r="B30" s="1209"/>
      <c r="C30" s="1209"/>
      <c r="D30" s="1209"/>
      <c r="E30" s="1209"/>
      <c r="F30" s="1223">
        <v>1</v>
      </c>
      <c r="G30" s="1276" t="str">
        <f>L15</f>
        <v xml:space="preserve">un </v>
      </c>
      <c r="H30" s="1222"/>
      <c r="I30" s="1209"/>
      <c r="J30" s="1225"/>
      <c r="K30" s="1226" t="s">
        <v>481</v>
      </c>
      <c r="L30" s="1208">
        <f>ROUND(L29/F30,4)</f>
        <v>0</v>
      </c>
    </row>
    <row r="31" spans="1:14" s="1272" customFormat="1" ht="14.1" customHeight="1" x14ac:dyDescent="0.25">
      <c r="A31" s="1222"/>
      <c r="B31" s="1209" t="s">
        <v>482</v>
      </c>
      <c r="C31" s="1209"/>
      <c r="D31" s="1209"/>
      <c r="E31" s="1209"/>
      <c r="F31" s="1223"/>
      <c r="G31" s="1224"/>
      <c r="H31" s="1222"/>
      <c r="I31" s="1209"/>
      <c r="J31" s="1225"/>
      <c r="K31" s="1220" t="s">
        <v>483</v>
      </c>
      <c r="L31" s="1208">
        <f>ROUND(L30*F31,4)</f>
        <v>0</v>
      </c>
    </row>
    <row r="32" spans="1:14" s="1272" customFormat="1" ht="14.1" customHeight="1" x14ac:dyDescent="0.25">
      <c r="A32" s="1222"/>
      <c r="B32" s="1209" t="s">
        <v>484</v>
      </c>
      <c r="C32" s="1209"/>
      <c r="D32" s="1209"/>
      <c r="E32" s="1209"/>
      <c r="F32" s="1227"/>
      <c r="G32" s="1224"/>
      <c r="H32" s="1225"/>
      <c r="I32" s="1228"/>
      <c r="J32" s="1210"/>
      <c r="K32" s="1220" t="s">
        <v>485</v>
      </c>
      <c r="L32" s="1292">
        <f>ROUND(L30*F32,4)</f>
        <v>0</v>
      </c>
    </row>
    <row r="33" spans="1:12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95"/>
    </row>
    <row r="34" spans="1:12" s="1271" customFormat="1" ht="14.1" customHeight="1" x14ac:dyDescent="0.25">
      <c r="A34" s="1696" t="s">
        <v>486</v>
      </c>
      <c r="B34" s="1696"/>
      <c r="C34" s="1696"/>
      <c r="D34" s="1696"/>
      <c r="E34" s="1696"/>
      <c r="F34" s="1696"/>
      <c r="G34" s="1696"/>
      <c r="H34" s="1696"/>
      <c r="I34" s="1704" t="s">
        <v>487</v>
      </c>
      <c r="J34" s="1704"/>
      <c r="K34" s="1704"/>
      <c r="L34" s="1296">
        <f>ROUND(SUM(L30:L33),4)</f>
        <v>0</v>
      </c>
    </row>
    <row r="35" spans="1:12" s="1272" customFormat="1" ht="3" customHeight="1" x14ac:dyDescent="0.25">
      <c r="A35" s="710"/>
      <c r="B35" s="710"/>
      <c r="C35" s="710"/>
      <c r="D35" s="710"/>
      <c r="E35" s="710"/>
      <c r="F35" s="710"/>
      <c r="G35" s="1231"/>
      <c r="H35" s="1231"/>
      <c r="I35" s="1232"/>
      <c r="J35" s="1232"/>
      <c r="K35" s="1232"/>
      <c r="L35" s="710"/>
    </row>
    <row r="36" spans="1:12" s="1271" customFormat="1" ht="14.1" customHeight="1" x14ac:dyDescent="0.25">
      <c r="A36" s="1696" t="s">
        <v>488</v>
      </c>
      <c r="B36" s="1696"/>
      <c r="C36" s="1696"/>
      <c r="D36" s="1696"/>
      <c r="E36" s="1696"/>
      <c r="F36" s="1696"/>
      <c r="G36" s="1696"/>
      <c r="H36" s="1697" t="s">
        <v>164</v>
      </c>
      <c r="I36" s="1697"/>
      <c r="J36" s="1697" t="s">
        <v>163</v>
      </c>
      <c r="K36" s="1192" t="s">
        <v>489</v>
      </c>
      <c r="L36" s="1192" t="s">
        <v>472</v>
      </c>
    </row>
    <row r="37" spans="1:12" s="1271" customFormat="1" ht="14.1" customHeight="1" x14ac:dyDescent="0.25">
      <c r="A37" s="1696"/>
      <c r="B37" s="1696"/>
      <c r="C37" s="1696"/>
      <c r="D37" s="1696"/>
      <c r="E37" s="1696"/>
      <c r="F37" s="1696"/>
      <c r="G37" s="1696"/>
      <c r="H37" s="1697"/>
      <c r="I37" s="1697"/>
      <c r="J37" s="1697"/>
      <c r="K37" s="1233" t="s">
        <v>490</v>
      </c>
      <c r="L37" s="1194" t="s">
        <v>490</v>
      </c>
    </row>
    <row r="38" spans="1:12" s="1271" customFormat="1" ht="24.9" customHeight="1" x14ac:dyDescent="0.25">
      <c r="A38" s="1726" t="str">
        <f>CONCATENATE('[1]A004-Forma.Comum'!L6," ",'[1]A004-Forma.Comum'!L7)</f>
        <v>INCRA A 004</v>
      </c>
      <c r="B38" s="1726"/>
      <c r="C38" s="1197" t="s">
        <v>434</v>
      </c>
      <c r="D38" s="1720" t="str">
        <f>'[1]A004-Forma.Comum'!E18</f>
        <v>Formas de tábuas de pinho - utilização de 3 vezes - fornecimento, instalação e retirada</v>
      </c>
      <c r="E38" s="1720"/>
      <c r="F38" s="1720"/>
      <c r="G38" s="1720"/>
      <c r="H38" s="1727">
        <f>'[1]Vol. Bueiro60'!H20</f>
        <v>5.3186</v>
      </c>
      <c r="I38" s="1727"/>
      <c r="J38" s="1237" t="str">
        <f>'[1]A004-Forma.Comum'!L18</f>
        <v>m²</v>
      </c>
      <c r="K38" s="1252">
        <v>77.47999999999999</v>
      </c>
      <c r="L38" s="1289">
        <f t="shared" ref="L38:L42" si="2">ROUND(H38*K38,4)</f>
        <v>412.08510000000001</v>
      </c>
    </row>
    <row r="39" spans="1:12" s="1271" customFormat="1" ht="14.1" customHeight="1" x14ac:dyDescent="0.25">
      <c r="A39" s="1733" t="str">
        <f>CONCATENATE('[1]A005-Argamassa.1-3'!L6," ",'[1]A005-Argamassa.1-3'!L7)</f>
        <v>INCRA A 005</v>
      </c>
      <c r="B39" s="1733"/>
      <c r="C39" s="1197" t="s">
        <v>434</v>
      </c>
      <c r="D39" s="1699" t="str">
        <f>'[1]A005-Argamassa.1-3'!E18</f>
        <v>Argamassa de cimento e areia 1:3 - areia comercial</v>
      </c>
      <c r="E39" s="1699"/>
      <c r="F39" s="1699"/>
      <c r="G39" s="1699"/>
      <c r="H39" s="1727">
        <f>'[1]6.20-Bca.BSTC-60'!H46/0.49</f>
        <v>5.0510204081632655E-2</v>
      </c>
      <c r="I39" s="1727"/>
      <c r="J39" s="1237" t="str">
        <f>'[1]A006-Argamassa.1-4'!L18</f>
        <v>m³</v>
      </c>
      <c r="K39" s="1252">
        <v>355.79</v>
      </c>
      <c r="L39" s="1289">
        <f t="shared" si="2"/>
        <v>17.971</v>
      </c>
    </row>
    <row r="40" spans="1:12" s="1271" customFormat="1" ht="24.9" customHeight="1" x14ac:dyDescent="0.25">
      <c r="A40" s="1733" t="str">
        <f>CONCATENATE('[1]A010-Conc.Cicl.20MPa'!L6," ",'[1]A010-Conc.Cicl.20MPa'!L7)</f>
        <v>INCRA A 010</v>
      </c>
      <c r="B40" s="1733"/>
      <c r="C40" s="1197" t="s">
        <v>434</v>
      </c>
      <c r="D40" s="1720" t="str">
        <f>'[1]A010-Conc.Cicl.20MPa'!E18</f>
        <v>Concreto ciclópico fck = 20 MPa - confecção em betoneira e lançamento manual - areia, brita e pedra de mão comerciais</v>
      </c>
      <c r="E40" s="1720"/>
      <c r="F40" s="1720"/>
      <c r="G40" s="1720"/>
      <c r="H40" s="1727">
        <f>'[1]Vol. Bueiro60'!I20</f>
        <v>0.65049999999999997</v>
      </c>
      <c r="I40" s="1727"/>
      <c r="J40" s="1237" t="str">
        <f>'[1]A010-Conc.Cicl.20MPa'!L18</f>
        <v>m³</v>
      </c>
      <c r="K40" s="1252">
        <v>328.53000000000003</v>
      </c>
      <c r="L40" s="1289">
        <f t="shared" si="2"/>
        <v>213.7088</v>
      </c>
    </row>
    <row r="41" spans="1:12" s="1271" customFormat="1" ht="14.1" customHeight="1" x14ac:dyDescent="0.25">
      <c r="A41" s="1733"/>
      <c r="B41" s="1733"/>
      <c r="C41" s="1197"/>
      <c r="D41" s="1699"/>
      <c r="E41" s="1699"/>
      <c r="F41" s="1699"/>
      <c r="G41" s="1699"/>
      <c r="H41" s="1727"/>
      <c r="I41" s="1727"/>
      <c r="J41" s="1237"/>
      <c r="K41" s="1252"/>
      <c r="L41" s="1289">
        <f t="shared" si="2"/>
        <v>0</v>
      </c>
    </row>
    <row r="42" spans="1:12" s="1271" customFormat="1" ht="14.1" customHeight="1" x14ac:dyDescent="0.25">
      <c r="A42" s="1338"/>
      <c r="B42" s="1339"/>
      <c r="C42" s="1193"/>
      <c r="D42" s="1739"/>
      <c r="E42" s="1739"/>
      <c r="F42" s="1739"/>
      <c r="G42" s="1739"/>
      <c r="H42" s="1706"/>
      <c r="I42" s="1706"/>
      <c r="J42" s="1340"/>
      <c r="K42" s="1341"/>
      <c r="L42" s="1291">
        <f t="shared" si="2"/>
        <v>0</v>
      </c>
    </row>
    <row r="43" spans="1:12" s="1271" customFormat="1" ht="14.1" customHeight="1" x14ac:dyDescent="0.25">
      <c r="A43" s="1738" t="s">
        <v>491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253">
        <f>ROUND(SUM(L38:L42),4)</f>
        <v>643.76490000000001</v>
      </c>
    </row>
    <row r="44" spans="1:12" s="1272" customFormat="1" ht="3" customHeight="1" x14ac:dyDescent="0.25">
      <c r="A44" s="1738"/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43"/>
    </row>
    <row r="45" spans="1:12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2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2" s="1271" customFormat="1" ht="14.1" customHeight="1" x14ac:dyDescent="0.25">
      <c r="A48" s="1740"/>
      <c r="B48" s="1710"/>
      <c r="C48" s="1711"/>
      <c r="D48" s="1712"/>
      <c r="E48" s="1712"/>
      <c r="F48" s="1713"/>
      <c r="G48" s="1714"/>
      <c r="H48" s="1245" t="s">
        <v>497</v>
      </c>
      <c r="I48" s="1352"/>
      <c r="J48" s="1352"/>
      <c r="K48" s="1352"/>
      <c r="L48" s="1715">
        <f>ROUND(G48*($I$47*I49+$J$47*J49+$K$47*K49),4)</f>
        <v>0</v>
      </c>
    </row>
    <row r="49" spans="1:12" s="1271" customFormat="1" ht="14.1" customHeight="1" x14ac:dyDescent="0.25">
      <c r="A49" s="1740"/>
      <c r="B49" s="1710"/>
      <c r="C49" s="1711"/>
      <c r="D49" s="1712"/>
      <c r="E49" s="1712"/>
      <c r="F49" s="1713"/>
      <c r="G49" s="1714"/>
      <c r="H49" s="1247" t="s">
        <v>498</v>
      </c>
      <c r="I49" s="1353"/>
      <c r="J49" s="1353"/>
      <c r="K49" s="1353"/>
      <c r="L49" s="1715"/>
    </row>
    <row r="50" spans="1:12" s="1271" customFormat="1" ht="14.1" customHeight="1" x14ac:dyDescent="0.25">
      <c r="A50" s="1318"/>
      <c r="B50" s="1319"/>
      <c r="C50" s="1197"/>
      <c r="D50" s="1701"/>
      <c r="E50" s="1701"/>
      <c r="F50" s="1701"/>
      <c r="G50" s="1199"/>
      <c r="H50" s="1342"/>
      <c r="I50" s="1342"/>
      <c r="J50" s="1251"/>
      <c r="K50" s="1343"/>
      <c r="L50" s="1202"/>
    </row>
    <row r="51" spans="1:12" s="1271" customFormat="1" ht="14.1" customHeight="1" x14ac:dyDescent="0.25">
      <c r="A51" s="1216"/>
      <c r="B51" s="1204"/>
      <c r="C51" s="1197"/>
      <c r="D51" s="1217"/>
      <c r="E51" s="1217"/>
      <c r="F51" s="1217"/>
      <c r="G51" s="1205"/>
      <c r="H51" s="1344"/>
      <c r="I51" s="1344"/>
      <c r="J51" s="1251"/>
      <c r="K51" s="1345"/>
      <c r="L51" s="1202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34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ROUND(L34+L43+L52,4)</f>
        <v>643.76490000000001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164.61070000000001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808.38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17" t="s">
        <v>583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265"/>
      <c r="D59" s="1265"/>
      <c r="E59" s="1265"/>
      <c r="F59" s="1265"/>
      <c r="G59" s="1265"/>
      <c r="H59" s="1265"/>
      <c r="I59" s="1265"/>
      <c r="J59" s="1265"/>
      <c r="K59" s="1265"/>
      <c r="L59" s="1266"/>
    </row>
    <row r="60" spans="1:12" s="1271" customFormat="1" ht="20.25" customHeight="1" x14ac:dyDescent="0.25">
      <c r="A60" s="1267"/>
      <c r="B60" s="1268"/>
      <c r="C60" s="1268"/>
      <c r="D60" s="1268"/>
      <c r="E60" s="1268"/>
      <c r="F60" s="1268"/>
      <c r="G60" s="1268"/>
      <c r="H60" s="1268"/>
      <c r="I60" s="1268"/>
      <c r="J60" s="1268"/>
      <c r="K60" s="1268"/>
      <c r="L60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8">
    <mergeCell ref="C58:L58"/>
    <mergeCell ref="L45:L47"/>
    <mergeCell ref="A48:A49"/>
    <mergeCell ref="B48:B49"/>
    <mergeCell ref="C48:C49"/>
    <mergeCell ref="D48:E49"/>
    <mergeCell ref="F48:F49"/>
    <mergeCell ref="G48:G49"/>
    <mergeCell ref="L48:L49"/>
    <mergeCell ref="D50:F50"/>
    <mergeCell ref="A52:K52"/>
    <mergeCell ref="A54:K54"/>
    <mergeCell ref="A55:J55"/>
    <mergeCell ref="A56:K56"/>
    <mergeCell ref="D42:G42"/>
    <mergeCell ref="H42:I42"/>
    <mergeCell ref="A43:K44"/>
    <mergeCell ref="A45:F47"/>
    <mergeCell ref="G45:G47"/>
    <mergeCell ref="H45:K45"/>
    <mergeCell ref="A40:B40"/>
    <mergeCell ref="D40:G40"/>
    <mergeCell ref="H40:I40"/>
    <mergeCell ref="A41:B41"/>
    <mergeCell ref="D41:G41"/>
    <mergeCell ref="H41:I41"/>
    <mergeCell ref="A38:B38"/>
    <mergeCell ref="D38:G38"/>
    <mergeCell ref="H38:I38"/>
    <mergeCell ref="A39:B39"/>
    <mergeCell ref="D39:G39"/>
    <mergeCell ref="H39:I39"/>
    <mergeCell ref="A27:K27"/>
    <mergeCell ref="A34:H34"/>
    <mergeCell ref="I34:K34"/>
    <mergeCell ref="A36:G37"/>
    <mergeCell ref="H36:I37"/>
    <mergeCell ref="J36:J37"/>
    <mergeCell ref="D25:I25"/>
    <mergeCell ref="A8:L8"/>
    <mergeCell ref="A9:D9"/>
    <mergeCell ref="E9:L9"/>
    <mergeCell ref="A12:L13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C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7"/>
  <sheetViews>
    <sheetView view="pageBreakPreview" zoomScale="90" zoomScaleNormal="80" zoomScaleSheetLayoutView="90" workbookViewId="0">
      <selection activeCell="A11" sqref="A11:L13"/>
    </sheetView>
  </sheetViews>
  <sheetFormatPr defaultColWidth="14.6640625" defaultRowHeight="12.75" customHeight="1" x14ac:dyDescent="0.25"/>
  <cols>
    <col min="1" max="1" width="7.6640625" style="507" customWidth="1"/>
    <col min="2" max="2" width="41.21875" style="507" customWidth="1"/>
    <col min="3" max="3" width="15.109375" style="507" customWidth="1"/>
    <col min="4" max="4" width="14" style="507" customWidth="1"/>
    <col min="5" max="5" width="15.109375" style="507" customWidth="1"/>
    <col min="6" max="6" width="15" style="507" customWidth="1"/>
    <col min="7" max="7" width="14.6640625" style="507" customWidth="1"/>
    <col min="8" max="8" width="13.6640625" style="507" customWidth="1"/>
    <col min="9" max="9" width="13.88671875" style="507" customWidth="1"/>
    <col min="10" max="10" width="13.77734375" style="507" customWidth="1"/>
    <col min="11" max="16384" width="14.6640625" style="507"/>
  </cols>
  <sheetData>
    <row r="1" spans="1:12" ht="25.8" customHeight="1" x14ac:dyDescent="0.25">
      <c r="A1" s="1832" t="s">
        <v>226</v>
      </c>
      <c r="B1" s="1833"/>
      <c r="C1" s="1558" t="str">
        <f>ORÇAMENTÁRIA!D1</f>
        <v>J J BORGES DE OLIVEIRA EIRELI</v>
      </c>
      <c r="D1" s="1558"/>
      <c r="E1" s="1558"/>
      <c r="F1" s="1558"/>
      <c r="G1" s="1558"/>
      <c r="H1" s="1558"/>
      <c r="I1" s="1558"/>
      <c r="J1" s="1558"/>
      <c r="K1" s="1558"/>
      <c r="L1" s="1558"/>
    </row>
    <row r="2" spans="1:12" ht="19.8" customHeight="1" x14ac:dyDescent="0.25">
      <c r="A2" s="1834"/>
      <c r="B2" s="1835"/>
      <c r="C2" s="1559" t="str">
        <f>ORÇAMENTÁRIA!D2</f>
        <v>20.129.307/0001-02</v>
      </c>
      <c r="D2" s="1559"/>
      <c r="E2" s="1559"/>
      <c r="F2" s="1559"/>
      <c r="G2" s="1559"/>
      <c r="H2" s="1559"/>
      <c r="I2" s="1559"/>
      <c r="J2" s="1559"/>
      <c r="K2" s="1559"/>
      <c r="L2" s="1559"/>
    </row>
    <row r="3" spans="1:12" s="509" customFormat="1" ht="37.799999999999997" customHeight="1" x14ac:dyDescent="0.25">
      <c r="A3" s="1834"/>
      <c r="B3" s="1835"/>
      <c r="C3" s="508" t="s">
        <v>227</v>
      </c>
      <c r="D3" s="1831" t="str">
        <f>ORÇAMENTÁRIA!D5</f>
        <v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v>
      </c>
      <c r="E3" s="1831"/>
      <c r="F3" s="1831"/>
      <c r="G3" s="1831"/>
      <c r="H3" s="1831"/>
      <c r="I3" s="1831"/>
      <c r="J3" s="1831"/>
      <c r="K3" s="1831"/>
      <c r="L3" s="1831"/>
    </row>
    <row r="4" spans="1:12" s="509" customFormat="1" ht="18" customHeight="1" x14ac:dyDescent="0.25">
      <c r="A4" s="1834"/>
      <c r="B4" s="1835"/>
      <c r="C4" s="508" t="s">
        <v>5</v>
      </c>
      <c r="D4" s="1560" t="str">
        <f>'[1]Informações de entrada'!C21</f>
        <v>PA Manoel Crescêncio de Souza</v>
      </c>
      <c r="E4" s="1560"/>
      <c r="F4" s="1560"/>
      <c r="G4" s="1560"/>
      <c r="H4" s="1560"/>
      <c r="I4" s="1560"/>
      <c r="J4" s="510" t="s">
        <v>87</v>
      </c>
      <c r="K4" s="511">
        <f>ROUND('[1]Nota de serviço'!P28,3)</f>
        <v>13.1</v>
      </c>
      <c r="L4" s="512" t="s">
        <v>228</v>
      </c>
    </row>
    <row r="5" spans="1:12" s="509" customFormat="1" ht="18" customHeight="1" x14ac:dyDescent="0.25">
      <c r="A5" s="1834"/>
      <c r="B5" s="1835"/>
      <c r="C5" s="508" t="s">
        <v>6</v>
      </c>
      <c r="D5" s="1561" t="str">
        <f>'[1]Informações de entrada'!C7</f>
        <v>Prefeitura Municipal de Aurora do Pará</v>
      </c>
      <c r="E5" s="1561"/>
      <c r="F5" s="1561"/>
      <c r="G5" s="1561"/>
      <c r="H5" s="1561"/>
      <c r="I5" s="1561"/>
      <c r="J5" s="513"/>
      <c r="K5" s="513"/>
      <c r="L5" s="514"/>
    </row>
    <row r="6" spans="1:12" s="509" customFormat="1" ht="18" customHeight="1" x14ac:dyDescent="0.25">
      <c r="A6" s="1836"/>
      <c r="B6" s="1837"/>
      <c r="C6" s="508" t="s">
        <v>229</v>
      </c>
      <c r="D6" s="515"/>
      <c r="E6" s="516">
        <v>120</v>
      </c>
      <c r="F6" s="1562" t="s">
        <v>230</v>
      </c>
      <c r="G6" s="1562"/>
      <c r="H6" s="1562"/>
      <c r="I6" s="517"/>
      <c r="J6" s="510" t="s">
        <v>231</v>
      </c>
      <c r="K6" s="1563"/>
      <c r="L6" s="1563"/>
    </row>
    <row r="7" spans="1:12" ht="6.9" customHeight="1" x14ac:dyDescent="0.25">
      <c r="A7" s="518"/>
      <c r="B7" s="518"/>
      <c r="C7" s="518"/>
      <c r="D7" s="518"/>
      <c r="E7" s="519"/>
      <c r="F7" s="519"/>
      <c r="G7" s="519"/>
      <c r="H7" s="519"/>
      <c r="I7" s="519"/>
      <c r="J7" s="519"/>
      <c r="K7" s="520"/>
      <c r="L7" s="520"/>
    </row>
    <row r="8" spans="1:12" ht="19.5" customHeight="1" x14ac:dyDescent="0.25">
      <c r="A8" s="1564" t="s">
        <v>232</v>
      </c>
      <c r="B8" s="1564" t="s">
        <v>233</v>
      </c>
      <c r="C8" s="1565" t="s">
        <v>234</v>
      </c>
      <c r="D8" s="1564" t="s">
        <v>235</v>
      </c>
      <c r="E8" s="1564" t="s">
        <v>236</v>
      </c>
      <c r="F8" s="1564"/>
      <c r="G8" s="1564"/>
      <c r="H8" s="1564"/>
      <c r="I8" s="1564"/>
      <c r="J8" s="1564"/>
      <c r="K8" s="1564"/>
      <c r="L8" s="1564"/>
    </row>
    <row r="9" spans="1:12" ht="29.25" customHeight="1" x14ac:dyDescent="0.25">
      <c r="A9" s="1564"/>
      <c r="B9" s="1564"/>
      <c r="C9" s="1565"/>
      <c r="D9" s="1564"/>
      <c r="E9" s="521">
        <v>30</v>
      </c>
      <c r="F9" s="521">
        <v>60</v>
      </c>
      <c r="G9" s="521">
        <v>90</v>
      </c>
      <c r="H9" s="521">
        <v>120</v>
      </c>
      <c r="I9" s="521">
        <v>150</v>
      </c>
      <c r="J9" s="521">
        <v>180</v>
      </c>
      <c r="K9" s="521">
        <v>210</v>
      </c>
      <c r="L9" s="521">
        <v>240</v>
      </c>
    </row>
    <row r="10" spans="1:12" ht="6.9" customHeight="1" x14ac:dyDescent="0.25">
      <c r="A10" s="518"/>
      <c r="B10" s="518"/>
      <c r="C10" s="518"/>
      <c r="D10" s="518"/>
      <c r="E10" s="519"/>
      <c r="F10" s="519"/>
      <c r="G10" s="519"/>
      <c r="H10" s="519"/>
      <c r="I10" s="519"/>
      <c r="J10" s="519"/>
      <c r="K10" s="520"/>
      <c r="L10" s="520"/>
    </row>
    <row r="11" spans="1:12" ht="15" customHeight="1" x14ac:dyDescent="0.25">
      <c r="A11" s="1554" t="str">
        <f>'[1]Planilha orçamentária'!A16</f>
        <v>I</v>
      </c>
      <c r="B11" s="1555" t="str">
        <f>'[1]Planilha orçamentária'!B16</f>
        <v xml:space="preserve"> - SERVIÇOS PRELIMINARES, MOBILIZAÇÃO E INSTALAÇÃO DE CANTEIRO</v>
      </c>
      <c r="C11" s="1556">
        <f>ORÇAMENTÁRIA!N13</f>
        <v>14676.870000000003</v>
      </c>
      <c r="D11" s="1557">
        <f>ROUND(C11/C$38,6)</f>
        <v>9.7979999999999994E-3</v>
      </c>
      <c r="E11" s="522">
        <v>0.5</v>
      </c>
      <c r="F11" s="522"/>
      <c r="G11" s="522"/>
      <c r="H11" s="522">
        <v>0.5</v>
      </c>
      <c r="I11" s="522"/>
      <c r="J11" s="522"/>
      <c r="K11" s="522"/>
      <c r="L11" s="522"/>
    </row>
    <row r="12" spans="1:12" s="520" customFormat="1" ht="27.75" customHeight="1" x14ac:dyDescent="0.25">
      <c r="A12" s="1554"/>
      <c r="B12" s="1555"/>
      <c r="C12" s="1556"/>
      <c r="D12" s="1557"/>
      <c r="E12" s="523">
        <f t="shared" ref="E12:L12" si="0">IF(E$9&lt;=$E$6,$C11*E11,0)</f>
        <v>7338.4350000000013</v>
      </c>
      <c r="F12" s="523">
        <f t="shared" si="0"/>
        <v>0</v>
      </c>
      <c r="G12" s="523">
        <f t="shared" si="0"/>
        <v>0</v>
      </c>
      <c r="H12" s="523">
        <f t="shared" si="0"/>
        <v>7338.4350000000013</v>
      </c>
      <c r="I12" s="523">
        <f t="shared" si="0"/>
        <v>0</v>
      </c>
      <c r="J12" s="523">
        <f t="shared" si="0"/>
        <v>0</v>
      </c>
      <c r="K12" s="523">
        <f t="shared" si="0"/>
        <v>0</v>
      </c>
      <c r="L12" s="523">
        <f t="shared" si="0"/>
        <v>0</v>
      </c>
    </row>
    <row r="13" spans="1:12" s="520" customFormat="1" ht="6.9" customHeight="1" x14ac:dyDescent="0.25">
      <c r="A13" s="518"/>
      <c r="B13" s="518"/>
      <c r="C13" s="524"/>
      <c r="D13" s="518"/>
      <c r="E13" s="519"/>
      <c r="F13" s="519"/>
      <c r="G13" s="519"/>
      <c r="H13" s="519"/>
      <c r="I13" s="519"/>
      <c r="J13" s="519"/>
    </row>
    <row r="14" spans="1:12" s="520" customFormat="1" ht="15" customHeight="1" x14ac:dyDescent="0.25">
      <c r="A14" s="1554" t="str">
        <f>'[1]Planilha orçamentária'!A23</f>
        <v>II</v>
      </c>
      <c r="B14" s="1555" t="str">
        <f>'[1]Planilha orçamentária'!B23</f>
        <v xml:space="preserve"> - ELABORAÇÃO DE PROJETOS, ESTUDOS TÉCNICOS E TOPOGRAFIA</v>
      </c>
      <c r="C14" s="1556">
        <f>ORÇAMENTÁRIA!N20</f>
        <v>7296.44</v>
      </c>
      <c r="D14" s="1557">
        <f>ROUND(C14/C$38,6)</f>
        <v>4.8710000000000003E-3</v>
      </c>
      <c r="E14" s="522">
        <v>1</v>
      </c>
      <c r="F14" s="522"/>
      <c r="G14" s="522"/>
      <c r="H14" s="522"/>
      <c r="I14" s="522"/>
      <c r="J14" s="522"/>
      <c r="K14" s="522"/>
      <c r="L14" s="522"/>
    </row>
    <row r="15" spans="1:12" s="520" customFormat="1" ht="15" customHeight="1" x14ac:dyDescent="0.25">
      <c r="A15" s="1554"/>
      <c r="B15" s="1555"/>
      <c r="C15" s="1556"/>
      <c r="D15" s="1557"/>
      <c r="E15" s="523">
        <f t="shared" ref="E15:L15" si="1">IF(E$9&lt;=$E$6,$C14*E14,0)</f>
        <v>7296.44</v>
      </c>
      <c r="F15" s="523">
        <f t="shared" si="1"/>
        <v>0</v>
      </c>
      <c r="G15" s="523">
        <f t="shared" si="1"/>
        <v>0</v>
      </c>
      <c r="H15" s="523">
        <f t="shared" si="1"/>
        <v>0</v>
      </c>
      <c r="I15" s="523">
        <f t="shared" si="1"/>
        <v>0</v>
      </c>
      <c r="J15" s="523">
        <f t="shared" si="1"/>
        <v>0</v>
      </c>
      <c r="K15" s="523">
        <f t="shared" si="1"/>
        <v>0</v>
      </c>
      <c r="L15" s="523">
        <f t="shared" si="1"/>
        <v>0</v>
      </c>
    </row>
    <row r="16" spans="1:12" s="520" customFormat="1" ht="6.9" customHeight="1" x14ac:dyDescent="0.25">
      <c r="A16" s="518"/>
      <c r="B16" s="518"/>
      <c r="C16" s="524"/>
      <c r="D16" s="518"/>
      <c r="E16" s="519"/>
      <c r="F16" s="519"/>
      <c r="G16" s="519"/>
      <c r="H16" s="519"/>
      <c r="I16" s="519"/>
      <c r="J16" s="519"/>
    </row>
    <row r="17" spans="1:12" s="520" customFormat="1" ht="15" customHeight="1" x14ac:dyDescent="0.25">
      <c r="A17" s="1554" t="str">
        <f>'[1]Planilha orçamentária'!A39</f>
        <v>III</v>
      </c>
      <c r="B17" s="1555" t="str">
        <f>'[1]Planilha orçamentária'!B39</f>
        <v xml:space="preserve"> - ADMINISTRAÇÃO LOCAL E SEGURANÇA</v>
      </c>
      <c r="C17" s="1556">
        <f>ORÇAMENTÁRIA!N36</f>
        <v>87143.679999999993</v>
      </c>
      <c r="D17" s="1557">
        <f>ROUND(C17/C$38,6)</f>
        <v>5.8174999999999998E-2</v>
      </c>
      <c r="E17" s="522">
        <v>0.2</v>
      </c>
      <c r="F17" s="522">
        <v>0.3</v>
      </c>
      <c r="G17" s="522">
        <v>0.3</v>
      </c>
      <c r="H17" s="522">
        <v>0.2</v>
      </c>
      <c r="I17" s="522"/>
      <c r="J17" s="522"/>
      <c r="K17" s="522"/>
      <c r="L17" s="522"/>
    </row>
    <row r="18" spans="1:12" s="520" customFormat="1" ht="15" customHeight="1" x14ac:dyDescent="0.25">
      <c r="A18" s="1554"/>
      <c r="B18" s="1555"/>
      <c r="C18" s="1556"/>
      <c r="D18" s="1557"/>
      <c r="E18" s="523">
        <f t="shared" ref="E18:L18" si="2">IF(E$9&lt;=$E$6,$C17*E17,0)</f>
        <v>17428.736000000001</v>
      </c>
      <c r="F18" s="523">
        <f t="shared" si="2"/>
        <v>26143.103999999996</v>
      </c>
      <c r="G18" s="523">
        <f t="shared" si="2"/>
        <v>26143.103999999996</v>
      </c>
      <c r="H18" s="523">
        <f t="shared" si="2"/>
        <v>17428.736000000001</v>
      </c>
      <c r="I18" s="523">
        <f t="shared" si="2"/>
        <v>0</v>
      </c>
      <c r="J18" s="523">
        <f t="shared" si="2"/>
        <v>0</v>
      </c>
      <c r="K18" s="523">
        <f t="shared" si="2"/>
        <v>0</v>
      </c>
      <c r="L18" s="523">
        <f t="shared" si="2"/>
        <v>0</v>
      </c>
    </row>
    <row r="19" spans="1:12" s="520" customFormat="1" ht="6.9" customHeight="1" x14ac:dyDescent="0.25">
      <c r="A19" s="518"/>
      <c r="B19" s="518"/>
      <c r="C19" s="524"/>
      <c r="D19" s="518"/>
      <c r="E19" s="519"/>
      <c r="F19" s="519"/>
      <c r="G19" s="519"/>
      <c r="H19" s="519"/>
      <c r="I19" s="519"/>
      <c r="J19" s="519"/>
    </row>
    <row r="20" spans="1:12" s="525" customFormat="1" ht="15" customHeight="1" x14ac:dyDescent="0.25">
      <c r="A20" s="1554" t="str">
        <f>'[1]Planilha orçamentária'!A43</f>
        <v>IV</v>
      </c>
      <c r="B20" s="1555" t="str">
        <f>'[1]Planilha orçamentária'!B43</f>
        <v xml:space="preserve"> - DESMATAMENTO E LIMPEZA</v>
      </c>
      <c r="C20" s="1556">
        <f>ORÇAMENTÁRIA!N40</f>
        <v>33798</v>
      </c>
      <c r="D20" s="1557">
        <f>ROUND(C20/C$38,6)</f>
        <v>2.2563E-2</v>
      </c>
      <c r="E20" s="522">
        <v>1</v>
      </c>
      <c r="F20" s="522"/>
      <c r="G20" s="522"/>
      <c r="H20" s="522"/>
      <c r="I20" s="522"/>
      <c r="J20" s="522"/>
      <c r="K20" s="522"/>
      <c r="L20" s="522"/>
    </row>
    <row r="21" spans="1:12" s="520" customFormat="1" ht="15" customHeight="1" x14ac:dyDescent="0.25">
      <c r="A21" s="1554"/>
      <c r="B21" s="1555"/>
      <c r="C21" s="1556"/>
      <c r="D21" s="1557"/>
      <c r="E21" s="523">
        <f t="shared" ref="E21:L21" si="3">IF(E$9&lt;=$E$6,$C20*E20,0)</f>
        <v>33798</v>
      </c>
      <c r="F21" s="523">
        <f t="shared" si="3"/>
        <v>0</v>
      </c>
      <c r="G21" s="523">
        <f t="shared" si="3"/>
        <v>0</v>
      </c>
      <c r="H21" s="523">
        <f t="shared" si="3"/>
        <v>0</v>
      </c>
      <c r="I21" s="523">
        <f t="shared" si="3"/>
        <v>0</v>
      </c>
      <c r="J21" s="523">
        <f t="shared" si="3"/>
        <v>0</v>
      </c>
      <c r="K21" s="523">
        <f t="shared" si="3"/>
        <v>0</v>
      </c>
      <c r="L21" s="523">
        <f t="shared" si="3"/>
        <v>0</v>
      </c>
    </row>
    <row r="22" spans="1:12" s="526" customFormat="1" ht="6.9" customHeight="1" x14ac:dyDescent="0.25">
      <c r="A22" s="518"/>
      <c r="B22" s="518"/>
      <c r="C22" s="524"/>
      <c r="D22" s="518"/>
      <c r="E22" s="519"/>
      <c r="F22" s="519"/>
      <c r="G22" s="519"/>
      <c r="H22" s="519"/>
      <c r="I22" s="519"/>
      <c r="J22" s="519"/>
      <c r="K22" s="520"/>
      <c r="L22" s="520"/>
    </row>
    <row r="23" spans="1:12" ht="15" customHeight="1" x14ac:dyDescent="0.25">
      <c r="A23" s="1554" t="str">
        <f>'[1]Planilha orçamentária'!A53</f>
        <v>V</v>
      </c>
      <c r="B23" s="1555" t="str">
        <f>'[1]Planilha orçamentária'!B53</f>
        <v xml:space="preserve"> - TERRAPLENAGEM</v>
      </c>
      <c r="C23" s="1556">
        <f>ORÇAMENTÁRIA!N50</f>
        <v>518198.99920000002</v>
      </c>
      <c r="D23" s="1557">
        <f>ROUND(C23/C$38,6)</f>
        <v>0.345939</v>
      </c>
      <c r="E23" s="522">
        <v>0.4</v>
      </c>
      <c r="F23" s="522">
        <v>0.3</v>
      </c>
      <c r="G23" s="522">
        <v>0.3</v>
      </c>
      <c r="H23" s="522"/>
      <c r="I23" s="522"/>
      <c r="J23" s="522"/>
      <c r="K23" s="522"/>
      <c r="L23" s="522"/>
    </row>
    <row r="24" spans="1:12" s="520" customFormat="1" ht="15" customHeight="1" x14ac:dyDescent="0.25">
      <c r="A24" s="1554"/>
      <c r="B24" s="1555"/>
      <c r="C24" s="1556"/>
      <c r="D24" s="1557"/>
      <c r="E24" s="523">
        <f t="shared" ref="E24:L24" si="4">IF(E$9&lt;=$E$6,$C23*E23,0)</f>
        <v>207279.59968000001</v>
      </c>
      <c r="F24" s="523">
        <f t="shared" si="4"/>
        <v>155459.69975999999</v>
      </c>
      <c r="G24" s="523">
        <f t="shared" si="4"/>
        <v>155459.69975999999</v>
      </c>
      <c r="H24" s="523">
        <f t="shared" si="4"/>
        <v>0</v>
      </c>
      <c r="I24" s="523">
        <f t="shared" si="4"/>
        <v>0</v>
      </c>
      <c r="J24" s="523">
        <f t="shared" si="4"/>
        <v>0</v>
      </c>
      <c r="K24" s="523">
        <f t="shared" si="4"/>
        <v>0</v>
      </c>
      <c r="L24" s="523">
        <f t="shared" si="4"/>
        <v>0</v>
      </c>
    </row>
    <row r="25" spans="1:12" s="526" customFormat="1" ht="6.9" customHeight="1" x14ac:dyDescent="0.25">
      <c r="A25" s="518"/>
      <c r="B25" s="518"/>
      <c r="C25" s="524"/>
      <c r="D25" s="518"/>
      <c r="E25" s="519"/>
      <c r="F25" s="519"/>
      <c r="G25" s="519"/>
      <c r="H25" s="519"/>
      <c r="I25" s="519"/>
      <c r="J25" s="519"/>
      <c r="K25" s="520"/>
      <c r="L25" s="520"/>
    </row>
    <row r="26" spans="1:12" ht="15" customHeight="1" x14ac:dyDescent="0.25">
      <c r="A26" s="1554" t="str">
        <f>'[1]Planilha orçamentária'!A82</f>
        <v>VI</v>
      </c>
      <c r="B26" s="1555" t="str">
        <f>'[1]Planilha orçamentária'!B82</f>
        <v xml:space="preserve"> - OBRAS DE ARTES CORRENTES</v>
      </c>
      <c r="C26" s="1556">
        <f>ORÇAMENTÁRIA!N79</f>
        <v>186172.14</v>
      </c>
      <c r="D26" s="1557">
        <f>ROUND(C26/C$38,6)</f>
        <v>0.12428500000000001</v>
      </c>
      <c r="E26" s="522"/>
      <c r="F26" s="522">
        <v>0.5</v>
      </c>
      <c r="G26" s="522">
        <v>0.5</v>
      </c>
      <c r="H26" s="522"/>
      <c r="I26" s="522"/>
      <c r="J26" s="522"/>
      <c r="K26" s="522"/>
      <c r="L26" s="522"/>
    </row>
    <row r="27" spans="1:12" s="527" customFormat="1" ht="15" customHeight="1" x14ac:dyDescent="0.25">
      <c r="A27" s="1554"/>
      <c r="B27" s="1555"/>
      <c r="C27" s="1556"/>
      <c r="D27" s="1557"/>
      <c r="E27" s="523">
        <f t="shared" ref="E27:L27" si="5">IF(E$9&lt;=$E$6,$C26*E26,0)</f>
        <v>0</v>
      </c>
      <c r="F27" s="523">
        <f t="shared" si="5"/>
        <v>93086.07</v>
      </c>
      <c r="G27" s="523">
        <f t="shared" si="5"/>
        <v>93086.07</v>
      </c>
      <c r="H27" s="523">
        <f t="shared" si="5"/>
        <v>0</v>
      </c>
      <c r="I27" s="523">
        <f t="shared" si="5"/>
        <v>0</v>
      </c>
      <c r="J27" s="523">
        <f t="shared" si="5"/>
        <v>0</v>
      </c>
      <c r="K27" s="523">
        <f t="shared" si="5"/>
        <v>0</v>
      </c>
      <c r="L27" s="523">
        <f t="shared" si="5"/>
        <v>0</v>
      </c>
    </row>
    <row r="28" spans="1:12" s="526" customFormat="1" ht="6.9" customHeight="1" x14ac:dyDescent="0.25">
      <c r="A28" s="518"/>
      <c r="B28" s="518"/>
      <c r="C28" s="524"/>
      <c r="D28" s="518"/>
      <c r="E28" s="519"/>
      <c r="F28" s="519"/>
      <c r="G28" s="519"/>
      <c r="H28" s="519"/>
      <c r="I28" s="519"/>
      <c r="J28" s="519"/>
      <c r="K28" s="520"/>
      <c r="L28" s="520"/>
    </row>
    <row r="29" spans="1:12" ht="15" customHeight="1" x14ac:dyDescent="0.25">
      <c r="A29" s="1554" t="str">
        <f>'[1]Planilha orçamentária'!A126</f>
        <v>VII</v>
      </c>
      <c r="B29" s="1555" t="str">
        <f>'[1]Planilha orçamentária'!B126</f>
        <v xml:space="preserve"> - OBRAS DE ARTES ESPECIAIS, SINALIZAÇÕES E MATA BURRO</v>
      </c>
      <c r="C29" s="1556">
        <f>ORÇAMENTÁRIA!N123</f>
        <v>335838.54</v>
      </c>
      <c r="D29" s="1557">
        <f>ROUND(C29/C$38,6)</f>
        <v>0.22419900000000001</v>
      </c>
      <c r="E29" s="522"/>
      <c r="F29" s="522">
        <v>0.5</v>
      </c>
      <c r="G29" s="522">
        <v>0.5</v>
      </c>
      <c r="H29" s="522"/>
      <c r="I29" s="522"/>
      <c r="J29" s="522"/>
      <c r="K29" s="522"/>
      <c r="L29" s="522"/>
    </row>
    <row r="30" spans="1:12" s="527" customFormat="1" ht="15" customHeight="1" x14ac:dyDescent="0.25">
      <c r="A30" s="1554"/>
      <c r="B30" s="1555"/>
      <c r="C30" s="1556"/>
      <c r="D30" s="1557"/>
      <c r="E30" s="523">
        <f t="shared" ref="E30:L30" si="6">IF(E$9&lt;=$E$6,$C29*E29,0)</f>
        <v>0</v>
      </c>
      <c r="F30" s="523">
        <f t="shared" si="6"/>
        <v>167919.27</v>
      </c>
      <c r="G30" s="523">
        <f t="shared" si="6"/>
        <v>167919.27</v>
      </c>
      <c r="H30" s="523">
        <f t="shared" si="6"/>
        <v>0</v>
      </c>
      <c r="I30" s="523">
        <f t="shared" si="6"/>
        <v>0</v>
      </c>
      <c r="J30" s="523">
        <f t="shared" si="6"/>
        <v>0</v>
      </c>
      <c r="K30" s="523">
        <f t="shared" si="6"/>
        <v>0</v>
      </c>
      <c r="L30" s="523">
        <f t="shared" si="6"/>
        <v>0</v>
      </c>
    </row>
    <row r="31" spans="1:12" s="527" customFormat="1" ht="6.9" customHeight="1" x14ac:dyDescent="0.25">
      <c r="A31" s="518"/>
      <c r="B31" s="518"/>
      <c r="C31" s="524"/>
      <c r="D31" s="518"/>
      <c r="E31" s="519"/>
      <c r="F31" s="519"/>
      <c r="G31" s="519"/>
      <c r="H31" s="519"/>
      <c r="I31" s="519"/>
      <c r="J31" s="519"/>
      <c r="K31" s="520"/>
      <c r="L31" s="520"/>
    </row>
    <row r="32" spans="1:12" s="525" customFormat="1" ht="15" customHeight="1" x14ac:dyDescent="0.25">
      <c r="A32" s="1554" t="str">
        <f>'[1]Planilha orçamentária'!A145</f>
        <v>VIII</v>
      </c>
      <c r="B32" s="1555" t="str">
        <f>'[1]Planilha orçamentária'!B145</f>
        <v xml:space="preserve"> - REVESTIMENTO PRIMÁRIO</v>
      </c>
      <c r="C32" s="1556">
        <f>ORÇAMENTÁRIA!N142</f>
        <v>299323.15000000002</v>
      </c>
      <c r="D32" s="1557">
        <f>ROUND(C32/C$38,6)</f>
        <v>0.199822</v>
      </c>
      <c r="E32" s="522"/>
      <c r="F32" s="522">
        <v>0.3</v>
      </c>
      <c r="G32" s="522">
        <v>0.3</v>
      </c>
      <c r="H32" s="522">
        <v>0.4</v>
      </c>
      <c r="I32" s="522"/>
      <c r="J32" s="522"/>
      <c r="K32" s="522"/>
      <c r="L32" s="522"/>
    </row>
    <row r="33" spans="1:12" s="520" customFormat="1" ht="15" customHeight="1" x14ac:dyDescent="0.25">
      <c r="A33" s="1554"/>
      <c r="B33" s="1555"/>
      <c r="C33" s="1556"/>
      <c r="D33" s="1557"/>
      <c r="E33" s="523">
        <f t="shared" ref="E33:L33" si="7">IF(E$9&lt;=$E$6,$C32*E32,0)</f>
        <v>0</v>
      </c>
      <c r="F33" s="523">
        <f t="shared" si="7"/>
        <v>89796.945000000007</v>
      </c>
      <c r="G33" s="523">
        <f t="shared" si="7"/>
        <v>89796.945000000007</v>
      </c>
      <c r="H33" s="523">
        <f t="shared" si="7"/>
        <v>119729.26000000001</v>
      </c>
      <c r="I33" s="523">
        <f t="shared" si="7"/>
        <v>0</v>
      </c>
      <c r="J33" s="523">
        <f t="shared" si="7"/>
        <v>0</v>
      </c>
      <c r="K33" s="523">
        <f t="shared" si="7"/>
        <v>0</v>
      </c>
      <c r="L33" s="523">
        <f t="shared" si="7"/>
        <v>0</v>
      </c>
    </row>
    <row r="34" spans="1:12" s="520" customFormat="1" ht="6.9" customHeight="1" x14ac:dyDescent="0.25">
      <c r="A34" s="518"/>
      <c r="B34" s="518"/>
      <c r="C34" s="524"/>
      <c r="D34" s="518"/>
      <c r="E34" s="519"/>
      <c r="F34" s="519"/>
      <c r="G34" s="519"/>
      <c r="H34" s="519"/>
      <c r="I34" s="519"/>
      <c r="J34" s="519"/>
    </row>
    <row r="35" spans="1:12" s="525" customFormat="1" ht="15" customHeight="1" x14ac:dyDescent="0.25">
      <c r="A35" s="1554" t="str">
        <f>'[1]Planilha orçamentária'!A156</f>
        <v>IX</v>
      </c>
      <c r="B35" s="1555" t="str">
        <f>'[1]Planilha orçamentária'!B156</f>
        <v xml:space="preserve"> - RECUPERAÇÃO AMBIENTAL DE ÁREA DE EMPRÉSTIMO</v>
      </c>
      <c r="C35" s="1556">
        <f>ORÇAMENTÁRIA!N153</f>
        <v>15500</v>
      </c>
      <c r="D35" s="1557">
        <f>ROUND(C35/C$38,6)</f>
        <v>1.0347E-2</v>
      </c>
      <c r="E35" s="528"/>
      <c r="F35" s="528"/>
      <c r="G35" s="528"/>
      <c r="H35" s="528">
        <v>1</v>
      </c>
      <c r="I35" s="528"/>
      <c r="J35" s="528"/>
      <c r="K35" s="528"/>
      <c r="L35" s="528"/>
    </row>
    <row r="36" spans="1:12" s="520" customFormat="1" ht="15" customHeight="1" x14ac:dyDescent="0.25">
      <c r="A36" s="1554"/>
      <c r="B36" s="1555"/>
      <c r="C36" s="1556"/>
      <c r="D36" s="1557"/>
      <c r="E36" s="523">
        <f t="shared" ref="E36:L36" si="8">IF(E$9&lt;=$E$6,$C35*E35,0)</f>
        <v>0</v>
      </c>
      <c r="F36" s="523">
        <f t="shared" si="8"/>
        <v>0</v>
      </c>
      <c r="G36" s="523">
        <f t="shared" si="8"/>
        <v>0</v>
      </c>
      <c r="H36" s="523">
        <f t="shared" si="8"/>
        <v>15500</v>
      </c>
      <c r="I36" s="523">
        <f t="shared" si="8"/>
        <v>0</v>
      </c>
      <c r="J36" s="523">
        <f t="shared" si="8"/>
        <v>0</v>
      </c>
      <c r="K36" s="523">
        <f t="shared" si="8"/>
        <v>0</v>
      </c>
      <c r="L36" s="523">
        <f t="shared" si="8"/>
        <v>0</v>
      </c>
    </row>
    <row r="37" spans="1:12" s="520" customFormat="1" ht="6.9" customHeight="1" x14ac:dyDescent="0.25">
      <c r="A37" s="518"/>
      <c r="B37" s="518"/>
      <c r="C37" s="518"/>
      <c r="D37" s="518"/>
      <c r="E37" s="519"/>
      <c r="F37" s="519"/>
      <c r="G37" s="519"/>
      <c r="H37" s="519"/>
      <c r="I37" s="519"/>
      <c r="J37" s="519"/>
    </row>
    <row r="38" spans="1:12" ht="15.9" customHeight="1" x14ac:dyDescent="0.25">
      <c r="A38" s="1564" t="s">
        <v>237</v>
      </c>
      <c r="B38" s="1564"/>
      <c r="C38" s="1567">
        <f>C11+C14+C17+C20+C23+C26+C29+C32+C35</f>
        <v>1497947.8191999998</v>
      </c>
      <c r="D38" s="1564" t="s">
        <v>238</v>
      </c>
      <c r="E38" s="523">
        <f t="shared" ref="E38:L38" si="9">E12+E15+E18+E21+E24+E27+E30+E33+E36</f>
        <v>273141.21068000002</v>
      </c>
      <c r="F38" s="523">
        <f t="shared" si="9"/>
        <v>532405.08875999996</v>
      </c>
      <c r="G38" s="523">
        <f t="shared" si="9"/>
        <v>532405.08875999996</v>
      </c>
      <c r="H38" s="523">
        <f t="shared" si="9"/>
        <v>159996.43100000001</v>
      </c>
      <c r="I38" s="523">
        <f t="shared" si="9"/>
        <v>0</v>
      </c>
      <c r="J38" s="523">
        <f t="shared" si="9"/>
        <v>0</v>
      </c>
      <c r="K38" s="523">
        <f t="shared" si="9"/>
        <v>0</v>
      </c>
      <c r="L38" s="523">
        <f t="shared" si="9"/>
        <v>0</v>
      </c>
    </row>
    <row r="39" spans="1:12" ht="15.9" customHeight="1" x14ac:dyDescent="0.25">
      <c r="A39" s="1564" t="s">
        <v>239</v>
      </c>
      <c r="B39" s="1564"/>
      <c r="C39" s="1567"/>
      <c r="D39" s="1564"/>
      <c r="E39" s="523">
        <f>IF(E9&lt;=$E$6,E38,0)</f>
        <v>273141.21068000002</v>
      </c>
      <c r="F39" s="523">
        <f t="shared" ref="F39:L39" si="10">IF(F9&lt;=$E$6,E39+F38,0)</f>
        <v>805546.29943999997</v>
      </c>
      <c r="G39" s="523">
        <f t="shared" si="10"/>
        <v>1337951.3881999999</v>
      </c>
      <c r="H39" s="523">
        <f t="shared" si="10"/>
        <v>1497947.8192</v>
      </c>
      <c r="I39" s="523">
        <f t="shared" si="10"/>
        <v>0</v>
      </c>
      <c r="J39" s="523">
        <f t="shared" si="10"/>
        <v>0</v>
      </c>
      <c r="K39" s="523">
        <f t="shared" si="10"/>
        <v>0</v>
      </c>
      <c r="L39" s="523">
        <f t="shared" si="10"/>
        <v>0</v>
      </c>
    </row>
    <row r="40" spans="1:12" ht="15.9" customHeight="1" x14ac:dyDescent="0.25">
      <c r="A40" s="1564" t="s">
        <v>240</v>
      </c>
      <c r="B40" s="1564"/>
      <c r="C40" s="1568">
        <f>C38/C38</f>
        <v>1</v>
      </c>
      <c r="D40" s="1569">
        <f>SUM(D11:D36)</f>
        <v>0.99999899999999997</v>
      </c>
      <c r="E40" s="529">
        <f>E38/C38</f>
        <v>0.1823436084882282</v>
      </c>
      <c r="F40" s="529">
        <f t="shared" ref="F40:L40" si="11">F38/$C38</f>
        <v>0.35542298732698074</v>
      </c>
      <c r="G40" s="529">
        <f t="shared" si="11"/>
        <v>0.35542298732698074</v>
      </c>
      <c r="H40" s="529">
        <f t="shared" si="11"/>
        <v>0.10681041685781043</v>
      </c>
      <c r="I40" s="529">
        <f t="shared" si="11"/>
        <v>0</v>
      </c>
      <c r="J40" s="529">
        <f t="shared" si="11"/>
        <v>0</v>
      </c>
      <c r="K40" s="529">
        <f t="shared" si="11"/>
        <v>0</v>
      </c>
      <c r="L40" s="529">
        <f t="shared" si="11"/>
        <v>0</v>
      </c>
    </row>
    <row r="41" spans="1:12" ht="15.9" customHeight="1" x14ac:dyDescent="0.25">
      <c r="A41" s="1564" t="s">
        <v>241</v>
      </c>
      <c r="B41" s="1564"/>
      <c r="C41" s="1568"/>
      <c r="D41" s="1569"/>
      <c r="E41" s="529">
        <f>E40</f>
        <v>0.1823436084882282</v>
      </c>
      <c r="F41" s="529">
        <f t="shared" ref="F41:L41" si="12">E41+F40</f>
        <v>0.53776659581520891</v>
      </c>
      <c r="G41" s="529">
        <f t="shared" si="12"/>
        <v>0.89318958314218966</v>
      </c>
      <c r="H41" s="529">
        <f t="shared" si="12"/>
        <v>1</v>
      </c>
      <c r="I41" s="529">
        <f t="shared" si="12"/>
        <v>1</v>
      </c>
      <c r="J41" s="529">
        <f t="shared" si="12"/>
        <v>1</v>
      </c>
      <c r="K41" s="529">
        <f t="shared" si="12"/>
        <v>1</v>
      </c>
      <c r="L41" s="529">
        <f t="shared" si="12"/>
        <v>1</v>
      </c>
    </row>
    <row r="42" spans="1:12" ht="6.9" customHeight="1" x14ac:dyDescent="0.25">
      <c r="A42" s="520"/>
      <c r="B42" s="520"/>
      <c r="C42" s="527"/>
      <c r="D42" s="527"/>
      <c r="E42" s="527"/>
      <c r="F42" s="527"/>
      <c r="G42" s="527"/>
      <c r="H42" s="527"/>
      <c r="I42" s="527"/>
      <c r="J42" s="527"/>
      <c r="K42" s="527"/>
      <c r="L42" s="527"/>
    </row>
    <row r="43" spans="1:12" ht="15.9" customHeight="1" x14ac:dyDescent="0.25">
      <c r="A43" s="520"/>
      <c r="B43" s="520"/>
      <c r="C43" s="530">
        <f>C38/K4</f>
        <v>114347.16177099236</v>
      </c>
      <c r="D43" s="531" t="s">
        <v>242</v>
      </c>
      <c r="E43" s="532"/>
      <c r="F43" s="520"/>
      <c r="G43" s="527"/>
      <c r="H43" s="527"/>
      <c r="I43" s="527"/>
      <c r="J43" s="527"/>
      <c r="K43" s="527"/>
      <c r="L43" s="527"/>
    </row>
    <row r="44" spans="1:12" ht="15.9" customHeight="1" x14ac:dyDescent="0.25">
      <c r="A44" s="520"/>
      <c r="B44" s="533" t="s">
        <v>243</v>
      </c>
      <c r="C44" s="534">
        <v>3.06625E-3</v>
      </c>
      <c r="D44" s="535" t="s">
        <v>244</v>
      </c>
      <c r="E44" s="531">
        <f t="shared" ref="E44:L44" si="13">E38*$C$44</f>
        <v>837.51923724755</v>
      </c>
      <c r="F44" s="531">
        <f t="shared" si="13"/>
        <v>1632.4871034103498</v>
      </c>
      <c r="G44" s="531">
        <f t="shared" si="13"/>
        <v>1632.4871034103498</v>
      </c>
      <c r="H44" s="531">
        <f t="shared" si="13"/>
        <v>490.58905655375003</v>
      </c>
      <c r="I44" s="531">
        <f t="shared" si="13"/>
        <v>0</v>
      </c>
      <c r="J44" s="531">
        <f t="shared" si="13"/>
        <v>0</v>
      </c>
      <c r="K44" s="531">
        <f t="shared" si="13"/>
        <v>0</v>
      </c>
      <c r="L44" s="531">
        <f t="shared" si="13"/>
        <v>0</v>
      </c>
    </row>
    <row r="45" spans="1:12" ht="15.9" customHeight="1" x14ac:dyDescent="0.25">
      <c r="A45" s="536"/>
      <c r="B45" s="533" t="s">
        <v>245</v>
      </c>
      <c r="C45" s="537">
        <f t="shared" ref="C45:C46" si="14">E44+F44+G44+H44+I44+J44</f>
        <v>4593.0825006220002</v>
      </c>
      <c r="D45" s="538" t="s">
        <v>246</v>
      </c>
      <c r="E45" s="539">
        <f t="shared" ref="E45:L45" si="15">E38-E44</f>
        <v>272303.69144275249</v>
      </c>
      <c r="F45" s="539">
        <f t="shared" si="15"/>
        <v>530772.60165658966</v>
      </c>
      <c r="G45" s="539">
        <f t="shared" si="15"/>
        <v>530772.60165658966</v>
      </c>
      <c r="H45" s="539">
        <f t="shared" si="15"/>
        <v>159505.84194344626</v>
      </c>
      <c r="I45" s="539">
        <f t="shared" si="15"/>
        <v>0</v>
      </c>
      <c r="J45" s="539">
        <f t="shared" si="15"/>
        <v>0</v>
      </c>
      <c r="K45" s="539">
        <f t="shared" si="15"/>
        <v>0</v>
      </c>
      <c r="L45" s="539">
        <f t="shared" si="15"/>
        <v>0</v>
      </c>
    </row>
    <row r="46" spans="1:12" ht="15.9" customHeight="1" x14ac:dyDescent="0.25">
      <c r="A46" s="540"/>
      <c r="B46" s="533" t="s">
        <v>247</v>
      </c>
      <c r="C46" s="541">
        <f t="shared" si="14"/>
        <v>1493354.7366993781</v>
      </c>
      <c r="D46" s="542"/>
      <c r="E46" s="543"/>
      <c r="F46" s="542"/>
      <c r="G46" s="542"/>
      <c r="H46" s="544"/>
      <c r="I46" s="542"/>
      <c r="J46" s="544"/>
      <c r="K46" s="520"/>
      <c r="L46" s="520"/>
    </row>
    <row r="47" spans="1:12" ht="14.25" customHeight="1" x14ac:dyDescent="0.25">
      <c r="A47" s="540"/>
      <c r="B47" s="545" t="s">
        <v>248</v>
      </c>
      <c r="C47" s="546">
        <f>C45+C46</f>
        <v>1497947.8192</v>
      </c>
      <c r="D47" s="520"/>
      <c r="E47" s="520"/>
      <c r="F47" s="520"/>
      <c r="G47" s="542"/>
      <c r="H47" s="544"/>
      <c r="I47" s="542"/>
      <c r="J47" s="520"/>
      <c r="K47" s="520"/>
      <c r="L47" s="520"/>
    </row>
    <row r="48" spans="1:12" ht="12.75" customHeight="1" x14ac:dyDescent="0.25">
      <c r="A48" s="536"/>
      <c r="B48" s="536"/>
      <c r="C48" s="536"/>
      <c r="D48" s="520"/>
      <c r="E48" s="547"/>
      <c r="F48" s="520"/>
      <c r="G48" s="520"/>
      <c r="H48" s="520"/>
      <c r="I48" s="520"/>
      <c r="J48" s="520"/>
      <c r="K48" s="520"/>
      <c r="L48" s="520"/>
    </row>
    <row r="49" spans="1:12" ht="12.75" customHeight="1" x14ac:dyDescent="0.25">
      <c r="A49" s="536"/>
      <c r="B49" s="536"/>
      <c r="C49" s="536"/>
      <c r="D49" s="520"/>
      <c r="E49" s="547"/>
      <c r="F49" s="520"/>
      <c r="G49" s="1566"/>
      <c r="H49" s="1566"/>
      <c r="I49" s="1566"/>
      <c r="J49" s="548"/>
      <c r="K49" s="520"/>
      <c r="L49" s="520"/>
    </row>
    <row r="50" spans="1:12" ht="12.75" customHeight="1" x14ac:dyDescent="0.2">
      <c r="A50" s="536"/>
      <c r="B50" s="536"/>
      <c r="C50" s="536"/>
      <c r="D50" s="549"/>
      <c r="E50" s="520"/>
      <c r="F50" s="520"/>
      <c r="G50" s="1553"/>
      <c r="H50" s="1553"/>
      <c r="I50" s="1553"/>
      <c r="J50" s="520"/>
      <c r="K50" s="520"/>
      <c r="L50" s="520"/>
    </row>
    <row r="51" spans="1:12" ht="12.75" customHeight="1" x14ac:dyDescent="0.25">
      <c r="A51" s="520"/>
      <c r="B51" s="520"/>
      <c r="C51" s="520"/>
      <c r="D51" s="550"/>
      <c r="E51" s="520"/>
      <c r="F51" s="520"/>
      <c r="G51" s="520"/>
      <c r="H51" s="520"/>
      <c r="I51" s="520"/>
      <c r="J51" s="520"/>
      <c r="K51" s="520"/>
      <c r="L51" s="520"/>
    </row>
    <row r="52" spans="1:12" ht="12.75" customHeight="1" x14ac:dyDescent="0.25">
      <c r="A52" s="520"/>
      <c r="B52" s="520"/>
      <c r="C52" s="549"/>
      <c r="D52" s="520"/>
      <c r="E52" s="520"/>
      <c r="F52" s="520"/>
      <c r="G52" s="520"/>
      <c r="H52" s="520"/>
      <c r="I52" s="520"/>
      <c r="J52" s="520"/>
      <c r="K52" s="520"/>
      <c r="L52" s="520"/>
    </row>
    <row r="53" spans="1:12" ht="12.75" customHeight="1" x14ac:dyDescent="0.25">
      <c r="A53" s="551">
        <v>0</v>
      </c>
      <c r="B53" s="520"/>
      <c r="C53" s="552"/>
      <c r="D53" s="520"/>
      <c r="E53" s="520"/>
      <c r="F53" s="520"/>
      <c r="G53" s="520"/>
      <c r="H53" s="520"/>
      <c r="I53" s="520"/>
      <c r="J53" s="520"/>
      <c r="K53" s="520"/>
      <c r="L53" s="520"/>
    </row>
    <row r="327" ht="27.45" customHeight="1" x14ac:dyDescent="0.25"/>
  </sheetData>
  <sheetProtection selectLockedCells="1" selectUnlockedCells="1"/>
  <mergeCells count="59">
    <mergeCell ref="A1:B6"/>
    <mergeCell ref="G50:I50"/>
    <mergeCell ref="A38:B38"/>
    <mergeCell ref="C38:C39"/>
    <mergeCell ref="D38:D39"/>
    <mergeCell ref="A39:B39"/>
    <mergeCell ref="A40:B40"/>
    <mergeCell ref="C40:C41"/>
    <mergeCell ref="D40:D41"/>
    <mergeCell ref="A41:B41"/>
    <mergeCell ref="A35:A36"/>
    <mergeCell ref="B35:B36"/>
    <mergeCell ref="C35:C36"/>
    <mergeCell ref="D35:D36"/>
    <mergeCell ref="G49:I49"/>
    <mergeCell ref="A29:A30"/>
    <mergeCell ref="B29:B30"/>
    <mergeCell ref="C29:C30"/>
    <mergeCell ref="D29:D30"/>
    <mergeCell ref="A32:A33"/>
    <mergeCell ref="B32:B33"/>
    <mergeCell ref="C32:C33"/>
    <mergeCell ref="D32:D33"/>
    <mergeCell ref="A23:A24"/>
    <mergeCell ref="B23:B24"/>
    <mergeCell ref="C23:C24"/>
    <mergeCell ref="D23:D24"/>
    <mergeCell ref="A26:A27"/>
    <mergeCell ref="B26:B27"/>
    <mergeCell ref="C26:C27"/>
    <mergeCell ref="D26:D27"/>
    <mergeCell ref="A17:A18"/>
    <mergeCell ref="B17:B18"/>
    <mergeCell ref="C17:C18"/>
    <mergeCell ref="D17:D18"/>
    <mergeCell ref="A20:A21"/>
    <mergeCell ref="B20:B21"/>
    <mergeCell ref="C20:C21"/>
    <mergeCell ref="D20:D21"/>
    <mergeCell ref="D8:D9"/>
    <mergeCell ref="E8:L8"/>
    <mergeCell ref="A14:A15"/>
    <mergeCell ref="B14:B15"/>
    <mergeCell ref="C14:C15"/>
    <mergeCell ref="D14:D15"/>
    <mergeCell ref="A11:A12"/>
    <mergeCell ref="B11:B12"/>
    <mergeCell ref="C11:C12"/>
    <mergeCell ref="D11:D12"/>
    <mergeCell ref="C1:L1"/>
    <mergeCell ref="C2:L2"/>
    <mergeCell ref="D3:L3"/>
    <mergeCell ref="D4:I4"/>
    <mergeCell ref="D5:I5"/>
    <mergeCell ref="F6:H6"/>
    <mergeCell ref="K6:L6"/>
    <mergeCell ref="A8:A9"/>
    <mergeCell ref="B8:B9"/>
    <mergeCell ref="C8:C9"/>
  </mergeCells>
  <conditionalFormatting sqref="E30:L30">
    <cfRule type="expression" priority="1" stopIfTrue="1">
      <formula>$K$30</formula>
    </cfRule>
  </conditionalFormatting>
  <conditionalFormatting sqref="E27:L27">
    <cfRule type="expression" priority="2" stopIfTrue="1">
      <formula>$K$30</formula>
    </cfRule>
  </conditionalFormatting>
  <conditionalFormatting sqref="E12:L12">
    <cfRule type="expression" priority="3" stopIfTrue="1">
      <formula>$K$30</formula>
    </cfRule>
  </conditionalFormatting>
  <conditionalFormatting sqref="E27:L27">
    <cfRule type="expression" priority="4" stopIfTrue="1">
      <formula>$K$30</formula>
    </cfRule>
  </conditionalFormatting>
  <conditionalFormatting sqref="E27:L27">
    <cfRule type="expression" priority="5" stopIfTrue="1">
      <formula>$K$30</formula>
    </cfRule>
  </conditionalFormatting>
  <conditionalFormatting sqref="E12:L12">
    <cfRule type="expression" priority="6" stopIfTrue="1">
      <formula>$K$30</formula>
    </cfRule>
  </conditionalFormatting>
  <conditionalFormatting sqref="E12:L12">
    <cfRule type="expression" priority="7" stopIfTrue="1">
      <formula>$K$30</formula>
    </cfRule>
  </conditionalFormatting>
  <conditionalFormatting sqref="E12:L12">
    <cfRule type="expression" priority="8" stopIfTrue="1">
      <formula>$K$30</formula>
    </cfRule>
  </conditionalFormatting>
  <conditionalFormatting sqref="E21:L21">
    <cfRule type="expression" priority="9" stopIfTrue="1">
      <formula>$K$30</formula>
    </cfRule>
  </conditionalFormatting>
  <conditionalFormatting sqref="E21:L21">
    <cfRule type="expression" priority="10" stopIfTrue="1">
      <formula>$K$30</formula>
    </cfRule>
  </conditionalFormatting>
  <conditionalFormatting sqref="E21:L21">
    <cfRule type="expression" priority="11" stopIfTrue="1">
      <formula>$K$30</formula>
    </cfRule>
  </conditionalFormatting>
  <conditionalFormatting sqref="E21:L21">
    <cfRule type="expression" priority="12" stopIfTrue="1">
      <formula>$K$30</formula>
    </cfRule>
  </conditionalFormatting>
  <conditionalFormatting sqref="E24:L24">
    <cfRule type="expression" priority="13" stopIfTrue="1">
      <formula>$K$30</formula>
    </cfRule>
  </conditionalFormatting>
  <conditionalFormatting sqref="E24:L24">
    <cfRule type="expression" priority="14" stopIfTrue="1">
      <formula>$K$30</formula>
    </cfRule>
  </conditionalFormatting>
  <conditionalFormatting sqref="E24:L24">
    <cfRule type="expression" priority="15" stopIfTrue="1">
      <formula>$K$30</formula>
    </cfRule>
  </conditionalFormatting>
  <conditionalFormatting sqref="E24:L24">
    <cfRule type="expression" priority="16" stopIfTrue="1">
      <formula>$K$30</formula>
    </cfRule>
  </conditionalFormatting>
  <conditionalFormatting sqref="E33:L33">
    <cfRule type="expression" priority="17" stopIfTrue="1">
      <formula>$K$30</formula>
    </cfRule>
  </conditionalFormatting>
  <conditionalFormatting sqref="E36:L36">
    <cfRule type="expression" priority="18" stopIfTrue="1">
      <formula>$K$30</formula>
    </cfRule>
  </conditionalFormatting>
  <conditionalFormatting sqref="E15:L15">
    <cfRule type="expression" priority="19" stopIfTrue="1">
      <formula>$K$30</formula>
    </cfRule>
  </conditionalFormatting>
  <conditionalFormatting sqref="E15:L15">
    <cfRule type="expression" priority="20" stopIfTrue="1">
      <formula>$K$30</formula>
    </cfRule>
  </conditionalFormatting>
  <conditionalFormatting sqref="E15:L15">
    <cfRule type="expression" priority="21" stopIfTrue="1">
      <formula>$K$30</formula>
    </cfRule>
  </conditionalFormatting>
  <conditionalFormatting sqref="E15:L15">
    <cfRule type="expression" priority="22" stopIfTrue="1">
      <formula>$K$30</formula>
    </cfRule>
  </conditionalFormatting>
  <conditionalFormatting sqref="E18:L18">
    <cfRule type="expression" priority="23" stopIfTrue="1">
      <formula>$K$30</formula>
    </cfRule>
  </conditionalFormatting>
  <conditionalFormatting sqref="E18:L18">
    <cfRule type="expression" priority="24" stopIfTrue="1">
      <formula>$K$30</formula>
    </cfRule>
  </conditionalFormatting>
  <conditionalFormatting sqref="E18:L18">
    <cfRule type="expression" priority="25" stopIfTrue="1">
      <formula>$K$30</formula>
    </cfRule>
  </conditionalFormatting>
  <conditionalFormatting sqref="E18:L18">
    <cfRule type="expression" priority="26" stopIfTrue="1">
      <formula>$K$30</formula>
    </cfRule>
  </conditionalFormatting>
  <dataValidations count="2">
    <dataValidation errorStyle="warning" allowBlank="1" showErrorMessage="1" error="Este valor não pode aultrapassar o limite de R$ 10.000,00 / km" sqref="C43" xr:uid="{00000000-0002-0000-0300-000000000000}">
      <formula1>0</formula1>
      <formula2>0</formula2>
    </dataValidation>
    <dataValidation type="list" allowBlank="1" showInputMessage="1" showErrorMessage="1" prompt="Selecionar prazo de execução" sqref="E6" xr:uid="{00000000-0002-0000-0300-000001000000}">
      <formula1>$A$53:$A$53</formula1>
      <formula2>0</formula2>
    </dataValidation>
  </dataValidations>
  <pageMargins left="0.39374999999999999" right="0.39374999999999999" top="0.47222222222222221" bottom="0.47222222222222221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65536"/>
  <sheetViews>
    <sheetView view="pageBreakPreview" topLeftCell="A10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'6.7'!A3:K3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'6.7'!A4:K4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6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208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7.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208</v>
      </c>
      <c r="E15" s="1349" t="s">
        <v>587</v>
      </c>
      <c r="F15" s="1349"/>
      <c r="G15" s="1349"/>
      <c r="H15" s="1349"/>
      <c r="I15" s="1349"/>
      <c r="J15" s="1190"/>
      <c r="K15" s="1189" t="s">
        <v>417</v>
      </c>
      <c r="L15" s="1190" t="s">
        <v>418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15.75" customHeight="1" x14ac:dyDescent="0.25">
      <c r="A19" s="1195"/>
      <c r="B19" s="1273"/>
      <c r="C19" s="1197"/>
      <c r="D19" s="1719"/>
      <c r="E19" s="1719"/>
      <c r="F19" s="1719"/>
      <c r="G19" s="1199"/>
      <c r="H19" s="1200"/>
      <c r="I19" s="1201"/>
      <c r="J19" s="1289"/>
      <c r="K19" s="1289"/>
      <c r="L19" s="1289">
        <f t="shared" ref="L19:L20" si="0">ROUND((G19*H19*J19)+(G19*I19*K19),4)</f>
        <v>0</v>
      </c>
    </row>
    <row r="20" spans="1:14" s="1271" customFormat="1" ht="14.1" customHeight="1" x14ac:dyDescent="0.25">
      <c r="A20" s="1203"/>
      <c r="B20" s="1204"/>
      <c r="C20" s="1197"/>
      <c r="D20" s="1204"/>
      <c r="E20" s="1204"/>
      <c r="F20" s="1204"/>
      <c r="G20" s="1205"/>
      <c r="H20" s="1200"/>
      <c r="I20" s="1201"/>
      <c r="J20" s="1301"/>
      <c r="K20" s="1300"/>
      <c r="L20" s="1289">
        <f t="shared" si="0"/>
        <v>0</v>
      </c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08">
        <f>ROUND(SUM(L19:L20),4)</f>
        <v>0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29"/>
    </row>
    <row r="23" spans="1:14" s="1271" customFormat="1" ht="14.1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311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355" t="s">
        <v>475</v>
      </c>
    </row>
    <row r="25" spans="1:14" s="1271" customFormat="1" ht="14.1" customHeight="1" x14ac:dyDescent="0.25">
      <c r="A25" s="1306"/>
      <c r="B25" s="1196"/>
      <c r="C25" s="1197"/>
      <c r="D25" s="1722"/>
      <c r="E25" s="1722"/>
      <c r="F25" s="1722"/>
      <c r="G25" s="1722"/>
      <c r="H25" s="1722"/>
      <c r="I25" s="1722"/>
      <c r="J25" s="1213"/>
      <c r="K25" s="1311"/>
      <c r="L25" s="1293">
        <f t="shared" ref="L25:L26" si="1">ROUND(J25*K25,4)</f>
        <v>0</v>
      </c>
      <c r="N25" s="1274"/>
    </row>
    <row r="26" spans="1:14" s="1271" customFormat="1" ht="14.1" customHeight="1" x14ac:dyDescent="0.25">
      <c r="A26" s="1216"/>
      <c r="B26" s="1217"/>
      <c r="C26" s="1217"/>
      <c r="D26" s="1217"/>
      <c r="E26" s="1217"/>
      <c r="F26" s="1217"/>
      <c r="G26" s="1173"/>
      <c r="H26" s="1193"/>
      <c r="I26" s="1218"/>
      <c r="J26" s="1219"/>
      <c r="K26" s="1302"/>
      <c r="L26" s="1215">
        <f t="shared" si="1"/>
        <v>0</v>
      </c>
    </row>
    <row r="27" spans="1:14" s="1271" customFormat="1" ht="14.1" customHeight="1" x14ac:dyDescent="0.25">
      <c r="A27" s="1702" t="s">
        <v>478</v>
      </c>
      <c r="B27" s="1702"/>
      <c r="C27" s="1702"/>
      <c r="D27" s="1702"/>
      <c r="E27" s="1702"/>
      <c r="F27" s="1702"/>
      <c r="G27" s="1702"/>
      <c r="H27" s="1702"/>
      <c r="I27" s="1702"/>
      <c r="J27" s="1702"/>
      <c r="K27" s="1702"/>
      <c r="L27" s="1208">
        <f>ROUND(SUM(L25:L26),4)</f>
        <v>0</v>
      </c>
    </row>
    <row r="28" spans="1:14" s="1272" customFormat="1" ht="9.4499999999999993" customHeight="1" x14ac:dyDescent="0.25">
      <c r="A28" s="1209"/>
      <c r="B28" s="1209"/>
      <c r="C28" s="1209"/>
      <c r="D28" s="1209"/>
      <c r="E28" s="1209"/>
      <c r="F28" s="1209"/>
      <c r="G28" s="1209"/>
      <c r="H28" s="1209"/>
      <c r="I28" s="1209"/>
      <c r="J28" s="1210"/>
      <c r="K28" s="1210"/>
      <c r="L28" s="1229"/>
    </row>
    <row r="29" spans="1:14" s="1272" customFormat="1" ht="14.1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20" t="s">
        <v>479</v>
      </c>
      <c r="L29" s="1294">
        <f>L21+L27</f>
        <v>0</v>
      </c>
    </row>
    <row r="30" spans="1:14" s="1272" customFormat="1" ht="14.1" customHeight="1" x14ac:dyDescent="0.25">
      <c r="A30" s="1222" t="s">
        <v>480</v>
      </c>
      <c r="B30" s="1209"/>
      <c r="C30" s="1209"/>
      <c r="D30" s="1209"/>
      <c r="E30" s="1209"/>
      <c r="F30" s="1223">
        <v>1</v>
      </c>
      <c r="G30" s="1276" t="str">
        <f>L15</f>
        <v xml:space="preserve">un </v>
      </c>
      <c r="H30" s="1222"/>
      <c r="I30" s="1209"/>
      <c r="J30" s="1225"/>
      <c r="K30" s="1226" t="s">
        <v>481</v>
      </c>
      <c r="L30" s="1208">
        <f>ROUND(L29/F30,4)</f>
        <v>0</v>
      </c>
    </row>
    <row r="31" spans="1:14" s="1272" customFormat="1" ht="14.1" customHeight="1" x14ac:dyDescent="0.25">
      <c r="A31" s="1222"/>
      <c r="B31" s="1209" t="s">
        <v>482</v>
      </c>
      <c r="C31" s="1209"/>
      <c r="D31" s="1209"/>
      <c r="E31" s="1209"/>
      <c r="F31" s="1223"/>
      <c r="G31" s="1224"/>
      <c r="H31" s="1222"/>
      <c r="I31" s="1209"/>
      <c r="J31" s="1225"/>
      <c r="K31" s="1220" t="s">
        <v>483</v>
      </c>
      <c r="L31" s="1208">
        <f>ROUND(L30*F31,4)</f>
        <v>0</v>
      </c>
    </row>
    <row r="32" spans="1:14" s="1272" customFormat="1" ht="14.1" customHeight="1" x14ac:dyDescent="0.25">
      <c r="A32" s="1222"/>
      <c r="B32" s="1209" t="s">
        <v>484</v>
      </c>
      <c r="C32" s="1209"/>
      <c r="D32" s="1209"/>
      <c r="E32" s="1209"/>
      <c r="F32" s="1227"/>
      <c r="G32" s="1224"/>
      <c r="H32" s="1225"/>
      <c r="I32" s="1228"/>
      <c r="J32" s="1210"/>
      <c r="K32" s="1220" t="s">
        <v>485</v>
      </c>
      <c r="L32" s="1292">
        <f>ROUND(L30*F32,4)</f>
        <v>0</v>
      </c>
    </row>
    <row r="33" spans="1:12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95"/>
    </row>
    <row r="34" spans="1:12" s="1271" customFormat="1" ht="14.1" customHeight="1" x14ac:dyDescent="0.25">
      <c r="A34" s="1696" t="s">
        <v>486</v>
      </c>
      <c r="B34" s="1696"/>
      <c r="C34" s="1696"/>
      <c r="D34" s="1696"/>
      <c r="E34" s="1696"/>
      <c r="F34" s="1696"/>
      <c r="G34" s="1696"/>
      <c r="H34" s="1696"/>
      <c r="I34" s="1704" t="s">
        <v>487</v>
      </c>
      <c r="J34" s="1704"/>
      <c r="K34" s="1704"/>
      <c r="L34" s="1296">
        <f>ROUND(SUM(L30:L33),4)</f>
        <v>0</v>
      </c>
    </row>
    <row r="35" spans="1:12" s="1272" customFormat="1" ht="3" customHeight="1" x14ac:dyDescent="0.25">
      <c r="A35" s="710"/>
      <c r="B35" s="710"/>
      <c r="C35" s="710"/>
      <c r="D35" s="710"/>
      <c r="E35" s="710"/>
      <c r="F35" s="710"/>
      <c r="G35" s="1231"/>
      <c r="H35" s="1231"/>
      <c r="I35" s="1232"/>
      <c r="J35" s="1232"/>
      <c r="K35" s="1232"/>
      <c r="L35" s="1356"/>
    </row>
    <row r="36" spans="1:12" s="1271" customFormat="1" ht="14.1" customHeight="1" x14ac:dyDescent="0.25">
      <c r="A36" s="1696" t="s">
        <v>488</v>
      </c>
      <c r="B36" s="1696"/>
      <c r="C36" s="1696"/>
      <c r="D36" s="1696"/>
      <c r="E36" s="1696"/>
      <c r="F36" s="1696"/>
      <c r="G36" s="1696"/>
      <c r="H36" s="1697" t="s">
        <v>164</v>
      </c>
      <c r="I36" s="1697"/>
      <c r="J36" s="1697" t="s">
        <v>163</v>
      </c>
      <c r="K36" s="1192" t="s">
        <v>489</v>
      </c>
      <c r="L36" s="1311" t="s">
        <v>472</v>
      </c>
    </row>
    <row r="37" spans="1:12" s="1271" customFormat="1" ht="14.1" customHeight="1" x14ac:dyDescent="0.25">
      <c r="A37" s="1696"/>
      <c r="B37" s="1696"/>
      <c r="C37" s="1696"/>
      <c r="D37" s="1696"/>
      <c r="E37" s="1696"/>
      <c r="F37" s="1696"/>
      <c r="G37" s="1696"/>
      <c r="H37" s="1697"/>
      <c r="I37" s="1697"/>
      <c r="J37" s="1697"/>
      <c r="K37" s="1233" t="s">
        <v>490</v>
      </c>
      <c r="L37" s="1355" t="s">
        <v>490</v>
      </c>
    </row>
    <row r="38" spans="1:12" s="1271" customFormat="1" ht="24.9" customHeight="1" x14ac:dyDescent="0.25">
      <c r="A38" s="1726" t="str">
        <f>CONCATENATE('[1]A004-Forma.Comum'!L6," ",'[1]A004-Forma.Comum'!L7)</f>
        <v>INCRA A 004</v>
      </c>
      <c r="B38" s="1726"/>
      <c r="C38" s="1197" t="s">
        <v>434</v>
      </c>
      <c r="D38" s="1720" t="str">
        <f>'[1]A004-Forma.Comum'!E18</f>
        <v>Formas de tábuas de pinho - utilização de 3 vezes - fornecimento, instalação e retirada</v>
      </c>
      <c r="E38" s="1720"/>
      <c r="F38" s="1720"/>
      <c r="G38" s="1720"/>
      <c r="H38" s="1741">
        <f>'[1]Vol. Bueiro100'!H19</f>
        <v>11.584</v>
      </c>
      <c r="I38" s="1741"/>
      <c r="J38" s="1237" t="str">
        <f>'[1]A004-Forma.Comum'!L18</f>
        <v>m²</v>
      </c>
      <c r="K38" s="1252">
        <v>77.47999999999999</v>
      </c>
      <c r="L38" s="1289">
        <f t="shared" ref="L38:L42" si="2">ROUND(H38*K38,4)</f>
        <v>897.52829999999994</v>
      </c>
    </row>
    <row r="39" spans="1:12" s="1271" customFormat="1" ht="14.1" customHeight="1" x14ac:dyDescent="0.25">
      <c r="A39" s="1733" t="str">
        <f>CONCATENATE('[1]A005-Argamassa.1-3'!L6," ",'[1]A005-Argamassa.1-3'!L7)</f>
        <v>INCRA A 005</v>
      </c>
      <c r="B39" s="1733"/>
      <c r="C39" s="1197" t="s">
        <v>434</v>
      </c>
      <c r="D39" s="1699" t="str">
        <f>'[1]A005-Argamassa.1-3'!E18</f>
        <v>Argamassa de cimento e areia 1:3 - areia comercial</v>
      </c>
      <c r="E39" s="1699"/>
      <c r="F39" s="1699"/>
      <c r="G39" s="1699"/>
      <c r="H39" s="1741">
        <v>5.8160000000000003E-2</v>
      </c>
      <c r="I39" s="1741"/>
      <c r="J39" s="1237" t="str">
        <f>'[1]A006-Argamassa.1-4'!L18</f>
        <v>m³</v>
      </c>
      <c r="K39" s="1252">
        <v>355.79</v>
      </c>
      <c r="L39" s="1289">
        <f t="shared" si="2"/>
        <v>20.692699999999999</v>
      </c>
    </row>
    <row r="40" spans="1:12" s="1271" customFormat="1" ht="24.9" customHeight="1" x14ac:dyDescent="0.25">
      <c r="A40" s="1733" t="str">
        <f>CONCATENATE('[1]A010-Conc.Cicl.20MPa'!L6," ",'[1]A010-Conc.Cicl.20MPa'!L7)</f>
        <v>INCRA A 010</v>
      </c>
      <c r="B40" s="1733"/>
      <c r="C40" s="1197" t="s">
        <v>434</v>
      </c>
      <c r="D40" s="1720" t="str">
        <f>'[1]A010-Conc.Cicl.20MPa'!E18</f>
        <v>Concreto ciclópico fck = 20 MPa - confecção em betoneira e lançamento manual - areia, brita e pedra de mão comerciais</v>
      </c>
      <c r="E40" s="1720"/>
      <c r="F40" s="1720"/>
      <c r="G40" s="1720"/>
      <c r="H40" s="1741">
        <f>'[1]Vol. Bueiro100'!I19</f>
        <v>2.0095999999999998</v>
      </c>
      <c r="I40" s="1741"/>
      <c r="J40" s="1237" t="str">
        <f>'[1]A010-Conc.Cicl.20MPa'!L18</f>
        <v>m³</v>
      </c>
      <c r="K40" s="1252">
        <v>328.53000000000003</v>
      </c>
      <c r="L40" s="1289">
        <f t="shared" si="2"/>
        <v>660.21389999999997</v>
      </c>
    </row>
    <row r="41" spans="1:12" s="1271" customFormat="1" ht="14.1" customHeight="1" x14ac:dyDescent="0.25">
      <c r="A41" s="1733"/>
      <c r="B41" s="1733"/>
      <c r="C41" s="1197"/>
      <c r="D41" s="1699"/>
      <c r="E41" s="1699"/>
      <c r="F41" s="1699"/>
      <c r="G41" s="1699"/>
      <c r="H41" s="1741"/>
      <c r="I41" s="1741"/>
      <c r="J41" s="1237"/>
      <c r="K41" s="1252"/>
      <c r="L41" s="1289">
        <f t="shared" si="2"/>
        <v>0</v>
      </c>
    </row>
    <row r="42" spans="1:12" s="1271" customFormat="1" ht="14.1" customHeight="1" x14ac:dyDescent="0.25">
      <c r="A42" s="1338"/>
      <c r="B42" s="1339"/>
      <c r="C42" s="1193"/>
      <c r="D42" s="1739"/>
      <c r="E42" s="1739"/>
      <c r="F42" s="1739"/>
      <c r="G42" s="1739"/>
      <c r="H42" s="1742"/>
      <c r="I42" s="1742"/>
      <c r="J42" s="1340"/>
      <c r="K42" s="1341"/>
      <c r="L42" s="1291">
        <f t="shared" si="2"/>
        <v>0</v>
      </c>
    </row>
    <row r="43" spans="1:12" s="1271" customFormat="1" ht="14.1" customHeight="1" x14ac:dyDescent="0.25">
      <c r="A43" s="1738" t="s">
        <v>491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253">
        <f>ROUND(SUM(L38:L42),4)</f>
        <v>1578.4349</v>
      </c>
    </row>
    <row r="44" spans="1:12" s="1272" customFormat="1" ht="3" customHeight="1" x14ac:dyDescent="0.25">
      <c r="A44" s="1738"/>
      <c r="B44" s="1738"/>
      <c r="C44" s="1738"/>
      <c r="D44" s="1738"/>
      <c r="E44" s="1738"/>
      <c r="F44" s="1738"/>
      <c r="G44" s="1738"/>
      <c r="H44" s="1738"/>
      <c r="I44" s="1738"/>
      <c r="J44" s="1738"/>
      <c r="K44" s="1738"/>
      <c r="L44" s="1207"/>
    </row>
    <row r="45" spans="1:12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743" t="s">
        <v>495</v>
      </c>
    </row>
    <row r="46" spans="1:12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743"/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743"/>
    </row>
    <row r="48" spans="1:12" s="1271" customFormat="1" ht="14.1" customHeight="1" x14ac:dyDescent="0.25">
      <c r="A48" s="1740"/>
      <c r="B48" s="1710"/>
      <c r="C48" s="1711"/>
      <c r="D48" s="1712"/>
      <c r="E48" s="1712"/>
      <c r="F48" s="1713"/>
      <c r="G48" s="1714"/>
      <c r="H48" s="1245" t="s">
        <v>497</v>
      </c>
      <c r="I48" s="1352"/>
      <c r="J48" s="1352"/>
      <c r="K48" s="1352"/>
      <c r="L48" s="1715">
        <f>ROUND(G48*($I$47*I49+$J$47*J49+$K$47*K49),4)</f>
        <v>0</v>
      </c>
    </row>
    <row r="49" spans="1:12" s="1271" customFormat="1" ht="14.1" customHeight="1" x14ac:dyDescent="0.25">
      <c r="A49" s="1740"/>
      <c r="B49" s="1710"/>
      <c r="C49" s="1711"/>
      <c r="D49" s="1712"/>
      <c r="E49" s="1712"/>
      <c r="F49" s="1713"/>
      <c r="G49" s="1714"/>
      <c r="H49" s="1247" t="s">
        <v>498</v>
      </c>
      <c r="I49" s="1353"/>
      <c r="J49" s="1353"/>
      <c r="K49" s="1353"/>
      <c r="L49" s="1715"/>
    </row>
    <row r="50" spans="1:12" s="1271" customFormat="1" ht="14.1" customHeight="1" x14ac:dyDescent="0.25">
      <c r="A50" s="1318"/>
      <c r="B50" s="1319"/>
      <c r="C50" s="1197"/>
      <c r="D50" s="1701"/>
      <c r="E50" s="1701"/>
      <c r="F50" s="1701"/>
      <c r="G50" s="1199"/>
      <c r="H50" s="1342"/>
      <c r="I50" s="1342"/>
      <c r="J50" s="1251"/>
      <c r="K50" s="1343"/>
      <c r="L50" s="1202"/>
    </row>
    <row r="51" spans="1:12" s="1271" customFormat="1" ht="14.1" customHeight="1" x14ac:dyDescent="0.25">
      <c r="A51" s="1216"/>
      <c r="B51" s="1204"/>
      <c r="C51" s="1197"/>
      <c r="D51" s="1217"/>
      <c r="E51" s="1217"/>
      <c r="F51" s="1217"/>
      <c r="G51" s="1205"/>
      <c r="H51" s="1344"/>
      <c r="I51" s="1344"/>
      <c r="J51" s="1251"/>
      <c r="K51" s="1345"/>
      <c r="L51" s="1202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34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ROUND(L34+L43+L52,4)</f>
        <v>1578.4349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403.60579999999999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329">
        <f>ROUND(L54+L55,2)</f>
        <v>1982.04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17" t="s">
        <v>588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7"/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9"/>
    </row>
    <row r="60" spans="1:12" ht="20.25" customHeight="1" x14ac:dyDescent="0.2"/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8">
    <mergeCell ref="C58:L58"/>
    <mergeCell ref="L45:L47"/>
    <mergeCell ref="A48:A49"/>
    <mergeCell ref="B48:B49"/>
    <mergeCell ref="C48:C49"/>
    <mergeCell ref="D48:E49"/>
    <mergeCell ref="F48:F49"/>
    <mergeCell ref="G48:G49"/>
    <mergeCell ref="L48:L49"/>
    <mergeCell ref="D50:F50"/>
    <mergeCell ref="A52:K52"/>
    <mergeCell ref="A54:K54"/>
    <mergeCell ref="A55:J55"/>
    <mergeCell ref="A56:K56"/>
    <mergeCell ref="D42:G42"/>
    <mergeCell ref="H42:I42"/>
    <mergeCell ref="A43:K44"/>
    <mergeCell ref="A45:F47"/>
    <mergeCell ref="G45:G47"/>
    <mergeCell ref="H45:K45"/>
    <mergeCell ref="A40:B40"/>
    <mergeCell ref="D40:G40"/>
    <mergeCell ref="H40:I40"/>
    <mergeCell ref="A41:B41"/>
    <mergeCell ref="D41:G41"/>
    <mergeCell ref="H41:I41"/>
    <mergeCell ref="A38:B38"/>
    <mergeCell ref="D38:G38"/>
    <mergeCell ref="H38:I38"/>
    <mergeCell ref="A39:B39"/>
    <mergeCell ref="D39:G39"/>
    <mergeCell ref="H39:I39"/>
    <mergeCell ref="A27:K27"/>
    <mergeCell ref="A34:H34"/>
    <mergeCell ref="I34:K34"/>
    <mergeCell ref="A36:G37"/>
    <mergeCell ref="H36:I37"/>
    <mergeCell ref="J36:J37"/>
    <mergeCell ref="D25:I25"/>
    <mergeCell ref="A8:L8"/>
    <mergeCell ref="A9:D9"/>
    <mergeCell ref="E9:L9"/>
    <mergeCell ref="A12:L13"/>
    <mergeCell ref="A17:F18"/>
    <mergeCell ref="G17:G18"/>
    <mergeCell ref="H17:I17"/>
    <mergeCell ref="J17:K17"/>
    <mergeCell ref="D19:F19"/>
    <mergeCell ref="A21:K21"/>
    <mergeCell ref="A23:I24"/>
    <mergeCell ref="J23:J24"/>
    <mergeCell ref="K23:K24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1D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1" width="7.6640625" style="713" customWidth="1"/>
    <col min="2" max="2" width="8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4.25" customHeight="1" x14ac:dyDescent="0.25">
      <c r="A3" s="1828" t="str">
        <f>'6.8'!$A$3:$K$3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'6.8'!$A$4:$K$4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6.75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687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9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9.7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48.75" customHeight="1" x14ac:dyDescent="0.25">
      <c r="A15" s="1186" t="s">
        <v>415</v>
      </c>
      <c r="B15" s="1187"/>
      <c r="C15" s="1187"/>
      <c r="D15" s="1471" t="str">
        <f>'[1]Planilha orçamentária'!B127</f>
        <v>7.1</v>
      </c>
      <c r="E15" s="1695" t="s">
        <v>688</v>
      </c>
      <c r="F15" s="1695"/>
      <c r="G15" s="1695"/>
      <c r="H15" s="1695"/>
      <c r="I15" s="1695"/>
      <c r="J15" s="1695"/>
      <c r="K15" s="1189" t="s">
        <v>417</v>
      </c>
      <c r="L15" s="1190" t="s">
        <v>136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2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2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2" s="1271" customFormat="1" ht="21" customHeight="1" x14ac:dyDescent="0.25">
      <c r="A19" s="1195" t="str">
        <f>'[1]Composições - Equipamentos'!A18</f>
        <v>DNIT –</v>
      </c>
      <c r="B19" s="1196" t="str">
        <f>'[1]Composições - Equipamentos'!B18</f>
        <v>E9508</v>
      </c>
      <c r="C19" s="1197" t="s">
        <v>434</v>
      </c>
      <c r="D19" s="1719" t="str">
        <f>'[1]Composições - Equipamentos'!C18</f>
        <v>Caminhão carroceria com capacidade de 9 t - 136 kW (Atego 1419 - Mercedes-Benz)</v>
      </c>
      <c r="E19" s="1719"/>
      <c r="F19" s="1719"/>
      <c r="G19" s="1199">
        <v>0.3</v>
      </c>
      <c r="H19" s="1200">
        <v>1</v>
      </c>
      <c r="I19" s="1201">
        <v>0</v>
      </c>
      <c r="J19" s="1299">
        <f>'[1]Composições - Equipamentos'!S18</f>
        <v>159.31229999999999</v>
      </c>
      <c r="K19" s="1299">
        <f>'[1]Composições - Equipamentos'!T18</f>
        <v>52.926499999999997</v>
      </c>
      <c r="L19" s="1289">
        <f t="shared" ref="L19:L23" si="0">ROUND((G19*H19*J19)+(G19*I19*K19),4)</f>
        <v>47.793700000000001</v>
      </c>
    </row>
    <row r="20" spans="1:12" s="1271" customFormat="1" ht="24.9" customHeight="1" x14ac:dyDescent="0.25">
      <c r="A20" s="1195" t="str">
        <f>'[1]Composições - Equipamentos'!A34</f>
        <v>DNIT –</v>
      </c>
      <c r="B20" s="1196" t="str">
        <f>'[1]Composições - Equipamentos'!B34</f>
        <v>E9537</v>
      </c>
      <c r="C20" s="1197" t="s">
        <v>434</v>
      </c>
      <c r="D20" s="1701" t="str">
        <f>'[1]Composições - Equipamentos'!C34</f>
        <v>Carregadeira de pneus com capacidade de 1,72 m³ - 113 kW (W20E - Case Construction)</v>
      </c>
      <c r="E20" s="1701"/>
      <c r="F20" s="1701"/>
      <c r="G20" s="1199">
        <v>1</v>
      </c>
      <c r="H20" s="1200">
        <v>1</v>
      </c>
      <c r="I20" s="1201">
        <v>0</v>
      </c>
      <c r="J20" s="1299">
        <f>'[1]Composições - Equipamentos'!S34</f>
        <v>148.14930000000001</v>
      </c>
      <c r="K20" s="1299">
        <f>'[1]Composições - Equipamentos'!T34</f>
        <v>57.7425</v>
      </c>
      <c r="L20" s="1289">
        <f t="shared" si="0"/>
        <v>148.14930000000001</v>
      </c>
    </row>
    <row r="21" spans="1:12" s="1271" customFormat="1" ht="14.1" customHeight="1" x14ac:dyDescent="0.25">
      <c r="A21" s="1195" t="str">
        <f>'[1]Composições - Equipamentos'!A16</f>
        <v>DNIT –</v>
      </c>
      <c r="B21" s="1196" t="str">
        <f>'[1]Composições - Equipamentos'!B16</f>
        <v>E9502</v>
      </c>
      <c r="C21" s="1197" t="s">
        <v>434</v>
      </c>
      <c r="D21" s="1701" t="str">
        <f>'[1]Composições - Equipamentos'!C16</f>
        <v>Bate-estaca de gravidade para 3,5 a 4,0 t - 119 Kw</v>
      </c>
      <c r="E21" s="1701"/>
      <c r="F21" s="1701"/>
      <c r="G21" s="1199">
        <v>1</v>
      </c>
      <c r="H21" s="1200">
        <v>1</v>
      </c>
      <c r="I21" s="1201">
        <v>0</v>
      </c>
      <c r="J21" s="1299">
        <f>'[1]Composições - Equipamentos'!S16</f>
        <v>208.65170000000001</v>
      </c>
      <c r="K21" s="1299">
        <f>'[1]Composições - Equipamentos'!T16</f>
        <v>98.188400000000001</v>
      </c>
      <c r="L21" s="1289">
        <f t="shared" si="0"/>
        <v>208.65170000000001</v>
      </c>
    </row>
    <row r="22" spans="1:12" s="1271" customFormat="1" ht="14.1" customHeight="1" x14ac:dyDescent="0.25">
      <c r="A22" s="1203"/>
      <c r="B22" s="1204"/>
      <c r="C22" s="1197"/>
      <c r="D22" s="1204"/>
      <c r="E22" s="1204"/>
      <c r="F22" s="1204"/>
      <c r="G22" s="1199"/>
      <c r="H22" s="1200"/>
      <c r="I22" s="1201"/>
      <c r="J22" s="1299"/>
      <c r="K22" s="1300"/>
      <c r="L22" s="1289">
        <f t="shared" si="0"/>
        <v>0</v>
      </c>
    </row>
    <row r="23" spans="1:12" s="1271" customFormat="1" ht="14.1" customHeight="1" x14ac:dyDescent="0.25">
      <c r="A23" s="1203"/>
      <c r="B23" s="1204"/>
      <c r="C23" s="1197"/>
      <c r="D23" s="1204"/>
      <c r="E23" s="1204"/>
      <c r="F23" s="1204"/>
      <c r="G23" s="1205"/>
      <c r="H23" s="1200"/>
      <c r="I23" s="1201"/>
      <c r="J23" s="1301"/>
      <c r="K23" s="1300"/>
      <c r="L23" s="1289">
        <f t="shared" si="0"/>
        <v>0</v>
      </c>
    </row>
    <row r="24" spans="1:12" s="1271" customFormat="1" ht="14.1" customHeight="1" x14ac:dyDescent="0.25">
      <c r="A24" s="1702" t="s">
        <v>476</v>
      </c>
      <c r="B24" s="1702"/>
      <c r="C24" s="1702"/>
      <c r="D24" s="1702"/>
      <c r="E24" s="1702"/>
      <c r="F24" s="1702"/>
      <c r="G24" s="1702"/>
      <c r="H24" s="1702"/>
      <c r="I24" s="1702"/>
      <c r="J24" s="1702"/>
      <c r="K24" s="1702"/>
      <c r="L24" s="1208">
        <f>ROUND(SUM(L19:L23),4)</f>
        <v>404.59469999999999</v>
      </c>
    </row>
    <row r="25" spans="1:12" s="1271" customFormat="1" ht="3" customHeight="1" x14ac:dyDescent="0.25">
      <c r="A25" s="1209"/>
      <c r="B25" s="1209"/>
      <c r="C25" s="1209"/>
      <c r="D25" s="1209"/>
      <c r="E25" s="1209"/>
      <c r="F25" s="1209"/>
      <c r="G25" s="1209"/>
      <c r="H25" s="1210"/>
      <c r="I25" s="1210"/>
      <c r="J25" s="1210"/>
      <c r="K25" s="1210"/>
      <c r="L25" s="1210"/>
    </row>
    <row r="26" spans="1:12" s="1271" customFormat="1" ht="14.1" customHeight="1" x14ac:dyDescent="0.25">
      <c r="A26" s="1696" t="s">
        <v>439</v>
      </c>
      <c r="B26" s="1696"/>
      <c r="C26" s="1696"/>
      <c r="D26" s="1696"/>
      <c r="E26" s="1696"/>
      <c r="F26" s="1696"/>
      <c r="G26" s="1696"/>
      <c r="H26" s="1696"/>
      <c r="I26" s="1696"/>
      <c r="J26" s="1697" t="s">
        <v>164</v>
      </c>
      <c r="K26" s="1703" t="s">
        <v>477</v>
      </c>
      <c r="L26" s="1192" t="s">
        <v>441</v>
      </c>
    </row>
    <row r="27" spans="1:12" s="1271" customFormat="1" ht="14.1" customHeight="1" x14ac:dyDescent="0.25">
      <c r="A27" s="1696"/>
      <c r="B27" s="1696"/>
      <c r="C27" s="1696"/>
      <c r="D27" s="1696"/>
      <c r="E27" s="1696"/>
      <c r="F27" s="1696"/>
      <c r="G27" s="1696"/>
      <c r="H27" s="1696"/>
      <c r="I27" s="1696"/>
      <c r="J27" s="1697"/>
      <c r="K27" s="1703"/>
      <c r="L27" s="1194" t="s">
        <v>475</v>
      </c>
    </row>
    <row r="28" spans="1:12" s="1271" customFormat="1" ht="9.4499999999999993" customHeight="1" x14ac:dyDescent="0.25">
      <c r="A28" s="1195" t="str">
        <f>'[1]Atualização de custos unitarios'!A79</f>
        <v>DNIT –</v>
      </c>
      <c r="B28" s="1212" t="str">
        <f>'[1]Atualização de custos unitarios'!B79</f>
        <v>P9808</v>
      </c>
      <c r="C28" s="1197" t="s">
        <v>434</v>
      </c>
      <c r="D28" s="1699" t="str">
        <f>'[1]Atualização de custos unitarios'!C79</f>
        <v>Carpinteiro</v>
      </c>
      <c r="E28" s="1699"/>
      <c r="F28" s="1699"/>
      <c r="G28" s="1699"/>
      <c r="H28" s="1699"/>
      <c r="I28" s="1699"/>
      <c r="J28" s="1357">
        <v>5</v>
      </c>
      <c r="K28" s="1252">
        <f>'1.1'!G96</f>
        <v>19.7652</v>
      </c>
      <c r="L28" s="1293">
        <f t="shared" ref="L28:L31" si="1">ROUND(J28*K28,4)</f>
        <v>98.825999999999993</v>
      </c>
    </row>
    <row r="29" spans="1:12" s="1271" customFormat="1" ht="14.1" customHeight="1" x14ac:dyDescent="0.25">
      <c r="A29" s="1195" t="str">
        <f>'[1]Atualização de custos unitarios'!A84</f>
        <v>DNIT –</v>
      </c>
      <c r="B29" s="1212" t="str">
        <f>'[1]Atualização de custos unitarios'!B84</f>
        <v>P9824</v>
      </c>
      <c r="C29" s="1197" t="s">
        <v>434</v>
      </c>
      <c r="D29" s="1699" t="str">
        <f>'[1]Atualização de custos unitarios'!C84</f>
        <v>Servente</v>
      </c>
      <c r="E29" s="1699"/>
      <c r="F29" s="1699"/>
      <c r="G29" s="1699"/>
      <c r="H29" s="1699"/>
      <c r="I29" s="1699"/>
      <c r="J29" s="1357">
        <v>10</v>
      </c>
      <c r="K29" s="1252">
        <f>'1.1'!G100</f>
        <v>14.981199999999999</v>
      </c>
      <c r="L29" s="1293">
        <f t="shared" si="1"/>
        <v>149.81200000000001</v>
      </c>
    </row>
    <row r="30" spans="1:12" s="1271" customFormat="1" ht="14.1" customHeight="1" x14ac:dyDescent="0.25">
      <c r="A30" s="1195" t="str">
        <f>'[1]Atualização de custos unitarios'!A74</f>
        <v>DNIT –</v>
      </c>
      <c r="B30" s="1273" t="str">
        <f>'[1]Atualização de custos unitarios'!B74</f>
        <v>P9801</v>
      </c>
      <c r="C30" s="1197" t="s">
        <v>434</v>
      </c>
      <c r="D30" s="1699" t="str">
        <f>'[1]Atualização de custos unitarios'!C74</f>
        <v>Ajudante</v>
      </c>
      <c r="E30" s="1699"/>
      <c r="F30" s="1699"/>
      <c r="G30" s="1699"/>
      <c r="H30" s="1699"/>
      <c r="I30" s="1699"/>
      <c r="J30" s="1357">
        <v>10</v>
      </c>
      <c r="K30" s="1252">
        <f>'1.1'!G92</f>
        <v>15.729999999999999</v>
      </c>
      <c r="L30" s="1293">
        <f t="shared" si="1"/>
        <v>157.30000000000001</v>
      </c>
    </row>
    <row r="31" spans="1:12" s="1271" customFormat="1" ht="13.5" customHeight="1" x14ac:dyDescent="0.25">
      <c r="A31" s="1216"/>
      <c r="B31" s="1217"/>
      <c r="C31" s="1217"/>
      <c r="D31" s="1217"/>
      <c r="E31" s="1217"/>
      <c r="F31" s="1217"/>
      <c r="G31" s="1173"/>
      <c r="H31" s="1193"/>
      <c r="I31" s="1218"/>
      <c r="J31" s="1219"/>
      <c r="K31" s="1252"/>
      <c r="L31" s="1293">
        <f t="shared" si="1"/>
        <v>0</v>
      </c>
    </row>
    <row r="32" spans="1:12" s="1271" customFormat="1" ht="14.1" customHeight="1" x14ac:dyDescent="0.25">
      <c r="A32" s="1702" t="s">
        <v>478</v>
      </c>
      <c r="B32" s="1702"/>
      <c r="C32" s="1702"/>
      <c r="D32" s="1702"/>
      <c r="E32" s="1702"/>
      <c r="F32" s="1702"/>
      <c r="G32" s="1702"/>
      <c r="H32" s="1702"/>
      <c r="I32" s="1702"/>
      <c r="J32" s="1702"/>
      <c r="K32" s="1702"/>
      <c r="L32" s="1208">
        <f>ROUND(SUM(L28:L31),4)</f>
        <v>405.93799999999999</v>
      </c>
    </row>
    <row r="33" spans="1:15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29"/>
    </row>
    <row r="34" spans="1:15" s="1272" customFormat="1" ht="14.1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20" t="s">
        <v>479</v>
      </c>
      <c r="L34" s="1221">
        <f>L24+L32</f>
        <v>810.53269999999998</v>
      </c>
    </row>
    <row r="35" spans="1:15" s="1272" customFormat="1" ht="14.1" customHeight="1" x14ac:dyDescent="0.25">
      <c r="A35" s="1222" t="s">
        <v>480</v>
      </c>
      <c r="B35" s="1209"/>
      <c r="C35" s="1209"/>
      <c r="D35" s="1209"/>
      <c r="E35" s="1209"/>
      <c r="F35" s="1223">
        <v>1</v>
      </c>
      <c r="G35" s="1224" t="str">
        <f>L15</f>
        <v>m</v>
      </c>
      <c r="H35" s="1222"/>
      <c r="I35" s="1209"/>
      <c r="J35" s="1225"/>
      <c r="K35" s="1226" t="s">
        <v>481</v>
      </c>
      <c r="L35" s="1208">
        <f>ROUND(L34/F35,4)</f>
        <v>810.53269999999998</v>
      </c>
    </row>
    <row r="36" spans="1:15" s="1272" customFormat="1" ht="14.1" customHeight="1" x14ac:dyDescent="0.25">
      <c r="A36" s="1222"/>
      <c r="B36" s="1209" t="s">
        <v>482</v>
      </c>
      <c r="C36" s="1209"/>
      <c r="D36" s="1209"/>
      <c r="E36" s="1209"/>
      <c r="F36" s="1223"/>
      <c r="G36" s="1224"/>
      <c r="H36" s="1222"/>
      <c r="I36" s="1209"/>
      <c r="J36" s="1225"/>
      <c r="K36" s="1220" t="s">
        <v>483</v>
      </c>
      <c r="L36" s="1208">
        <f>ROUND(L35*F36,4)</f>
        <v>0</v>
      </c>
    </row>
    <row r="37" spans="1:15" s="1272" customFormat="1" ht="14.1" customHeight="1" x14ac:dyDescent="0.25">
      <c r="A37" s="1222"/>
      <c r="B37" s="1209" t="s">
        <v>484</v>
      </c>
      <c r="C37" s="1209"/>
      <c r="D37" s="1209"/>
      <c r="E37" s="1209"/>
      <c r="F37" s="1227"/>
      <c r="G37" s="1224"/>
      <c r="H37" s="1225"/>
      <c r="I37" s="1228"/>
      <c r="J37" s="1210"/>
      <c r="K37" s="1220" t="s">
        <v>485</v>
      </c>
      <c r="L37" s="1208">
        <f>ROUND(L35*F37,4)</f>
        <v>0</v>
      </c>
    </row>
    <row r="38" spans="1:15" s="1272" customFormat="1" ht="3" customHeight="1" x14ac:dyDescent="0.25">
      <c r="A38" s="1209"/>
      <c r="B38" s="1209"/>
      <c r="C38" s="1209"/>
      <c r="D38" s="1209"/>
      <c r="E38" s="1209"/>
      <c r="F38" s="1209"/>
      <c r="G38" s="1209"/>
      <c r="H38" s="1209"/>
      <c r="I38" s="1209"/>
      <c r="J38" s="1210"/>
      <c r="K38" s="1210"/>
      <c r="L38" s="1229"/>
    </row>
    <row r="39" spans="1:15" s="1271" customFormat="1" ht="14.1" customHeight="1" x14ac:dyDescent="0.25">
      <c r="A39" s="1696" t="s">
        <v>486</v>
      </c>
      <c r="B39" s="1696"/>
      <c r="C39" s="1696"/>
      <c r="D39" s="1696"/>
      <c r="E39" s="1696"/>
      <c r="F39" s="1696"/>
      <c r="G39" s="1696"/>
      <c r="H39" s="1696"/>
      <c r="I39" s="1704" t="s">
        <v>487</v>
      </c>
      <c r="J39" s="1704"/>
      <c r="K39" s="1704"/>
      <c r="L39" s="1230">
        <f>ROUND(SUM(L35:L38),4)</f>
        <v>810.53269999999998</v>
      </c>
    </row>
    <row r="40" spans="1:15" s="1272" customFormat="1" ht="3" customHeight="1" x14ac:dyDescent="0.25">
      <c r="A40" s="710"/>
      <c r="B40" s="710"/>
      <c r="C40" s="710"/>
      <c r="D40" s="710"/>
      <c r="E40" s="710"/>
      <c r="F40" s="710"/>
      <c r="G40" s="1231"/>
      <c r="H40" s="1231"/>
      <c r="I40" s="1232"/>
      <c r="J40" s="1232"/>
      <c r="K40" s="1232"/>
      <c r="L40" s="710"/>
    </row>
    <row r="41" spans="1:15" s="1271" customFormat="1" ht="14.1" customHeight="1" x14ac:dyDescent="0.25">
      <c r="A41" s="1725" t="s">
        <v>488</v>
      </c>
      <c r="B41" s="1725"/>
      <c r="C41" s="1725"/>
      <c r="D41" s="1725"/>
      <c r="E41" s="1725"/>
      <c r="F41" s="1725"/>
      <c r="G41" s="1725"/>
      <c r="H41" s="1762" t="s">
        <v>164</v>
      </c>
      <c r="I41" s="1762"/>
      <c r="J41" s="1762" t="s">
        <v>163</v>
      </c>
      <c r="K41" s="1192" t="s">
        <v>489</v>
      </c>
      <c r="L41" s="1192" t="s">
        <v>472</v>
      </c>
      <c r="N41" s="1271">
        <v>0.4</v>
      </c>
    </row>
    <row r="42" spans="1:15" s="1271" customFormat="1" ht="14.1" customHeight="1" x14ac:dyDescent="0.25">
      <c r="A42" s="1725"/>
      <c r="B42" s="1725"/>
      <c r="C42" s="1725"/>
      <c r="D42" s="1725"/>
      <c r="E42" s="1725"/>
      <c r="F42" s="1725"/>
      <c r="G42" s="1725"/>
      <c r="H42" s="1762"/>
      <c r="I42" s="1762"/>
      <c r="J42" s="1762"/>
      <c r="K42" s="1200" t="s">
        <v>490</v>
      </c>
      <c r="L42" s="1472" t="s">
        <v>490</v>
      </c>
    </row>
    <row r="43" spans="1:15" s="1271" customFormat="1" ht="14.1" customHeight="1" x14ac:dyDescent="0.25">
      <c r="A43" s="1334" t="str">
        <f>'[1]Atualização de custos unitarios'!A180</f>
        <v>SINAPI –</v>
      </c>
      <c r="B43" s="1335" t="str">
        <f>'[1]Atualização de custos unitarios'!B180</f>
        <v>00003989</v>
      </c>
      <c r="C43" s="1255" t="s">
        <v>434</v>
      </c>
      <c r="D43" s="1254" t="str">
        <f>'[1]Atualização de custos unitarios'!C180</f>
        <v>Madeira serrada aparelhada de maçaranduba, angelim ou equivalente da região</v>
      </c>
      <c r="E43" s="1254"/>
      <c r="F43" s="1254"/>
      <c r="G43" s="1281"/>
      <c r="H43" s="1705">
        <f>'[1]Quant. Ponte Madeira'!F61</f>
        <v>2.5710000000000002</v>
      </c>
      <c r="I43" s="1705"/>
      <c r="J43" s="1473" t="str">
        <f>'[1]Atualização de custos unitarios'!D180</f>
        <v>m³</v>
      </c>
      <c r="K43" s="1337">
        <v>1576.1399999999999</v>
      </c>
      <c r="L43" s="1238">
        <f t="shared" ref="L43:L47" si="2">ROUND(H43*K43,4)</f>
        <v>4052.2559000000001</v>
      </c>
      <c r="N43" s="1271">
        <v>1576.54</v>
      </c>
      <c r="O43" s="1271">
        <f>N43-$N$41</f>
        <v>1576.1399999999999</v>
      </c>
    </row>
    <row r="44" spans="1:15" s="1271" customFormat="1" ht="35.1" customHeight="1" x14ac:dyDescent="0.25">
      <c r="A44" s="1318" t="str">
        <f>'[1]Atualização de custos unitarios'!A182</f>
        <v>SINAPI –</v>
      </c>
      <c r="B44" s="1319" t="str">
        <f>'[1]Atualização de custos unitarios'!B182</f>
        <v>00004343</v>
      </c>
      <c r="C44" s="1197" t="s">
        <v>434</v>
      </c>
      <c r="D44" s="1763" t="str">
        <f>'[1]Atualização de custos unitarios'!C182</f>
        <v>Parafuso francês zincado, diâmetro 1/2", comprimento 4", com porca e arruela lisa média</v>
      </c>
      <c r="E44" s="1763"/>
      <c r="F44" s="1204" t="s">
        <v>689</v>
      </c>
      <c r="G44" s="1235"/>
      <c r="H44" s="1727">
        <v>23.74</v>
      </c>
      <c r="I44" s="1727"/>
      <c r="J44" s="1237" t="str">
        <f>'[1]Atualização de custos unitarios'!D183</f>
        <v>kg</v>
      </c>
      <c r="K44" s="1252">
        <v>20.752400000000002</v>
      </c>
      <c r="L44" s="1202">
        <f t="shared" si="2"/>
        <v>492.66199999999998</v>
      </c>
      <c r="N44" s="1271">
        <v>21.1524</v>
      </c>
      <c r="O44" s="1271">
        <f t="shared" ref="O44:O47" si="3">N44-$N$41</f>
        <v>20.752400000000002</v>
      </c>
    </row>
    <row r="45" spans="1:15" s="1271" customFormat="1" ht="9.4499999999999993" customHeight="1" x14ac:dyDescent="0.25">
      <c r="A45" s="1318" t="str">
        <f>'[1]Atualização de custos unitarios'!A147</f>
        <v>DNIT –</v>
      </c>
      <c r="B45" s="1319" t="str">
        <f>'[1]Atualização de custos unitarios'!B147</f>
        <v>M1205</v>
      </c>
      <c r="C45" s="1197" t="s">
        <v>434</v>
      </c>
      <c r="D45" s="1204" t="str">
        <f>'[1]Atualização de custos unitarios'!C147</f>
        <v>Pregos de ferro</v>
      </c>
      <c r="E45" s="1204"/>
      <c r="F45" s="1204"/>
      <c r="G45" s="1198"/>
      <c r="H45" s="1727">
        <v>4.2350000000000003</v>
      </c>
      <c r="I45" s="1727"/>
      <c r="J45" s="1237" t="str">
        <f>'[1]Atualização de custos unitarios'!D147</f>
        <v>kg</v>
      </c>
      <c r="K45" s="1252">
        <v>9.974499999999999</v>
      </c>
      <c r="L45" s="1202">
        <f t="shared" si="2"/>
        <v>42.241999999999997</v>
      </c>
      <c r="N45" s="1271">
        <v>10.374499999999999</v>
      </c>
      <c r="O45" s="1271">
        <f t="shared" si="3"/>
        <v>9.974499999999999</v>
      </c>
    </row>
    <row r="46" spans="1:15" s="1271" customFormat="1" ht="14.1" customHeight="1" x14ac:dyDescent="0.25">
      <c r="A46" s="1733" t="str">
        <f>CONCATENATE('[1]A012-Pint.Imuniz.'!L6," ",'[1]A012-Pint.Imuniz.'!L7)</f>
        <v>INCRA A 012</v>
      </c>
      <c r="B46" s="1733"/>
      <c r="C46" s="1197" t="s">
        <v>434</v>
      </c>
      <c r="D46" s="1204" t="str">
        <f>'[1]A012-Pint.Imuniz.'!E18</f>
        <v>Pintura imunizante para madeira, duas demãos</v>
      </c>
      <c r="E46" s="1204"/>
      <c r="F46" s="1204"/>
      <c r="G46" s="1198"/>
      <c r="H46" s="1727">
        <v>8.4</v>
      </c>
      <c r="I46" s="1727"/>
      <c r="J46" s="1237" t="str">
        <f>'[1]A012-Pint.Imuniz.'!L18</f>
        <v>m²</v>
      </c>
      <c r="K46" s="1252">
        <v>17.82</v>
      </c>
      <c r="L46" s="1202">
        <f t="shared" si="2"/>
        <v>149.68799999999999</v>
      </c>
      <c r="N46" s="1271">
        <v>18.22</v>
      </c>
      <c r="O46" s="1271">
        <f t="shared" si="3"/>
        <v>17.82</v>
      </c>
    </row>
    <row r="47" spans="1:15" s="1271" customFormat="1" ht="14.1" hidden="1" customHeight="1" x14ac:dyDescent="0.25">
      <c r="A47" s="1338"/>
      <c r="B47" s="1339"/>
      <c r="C47" s="1193"/>
      <c r="D47" s="1217"/>
      <c r="E47" s="1217"/>
      <c r="F47" s="1217"/>
      <c r="G47" s="1240"/>
      <c r="H47" s="1764"/>
      <c r="I47" s="1764"/>
      <c r="J47" s="1340"/>
      <c r="K47" s="1341"/>
      <c r="L47" s="1206">
        <f t="shared" si="2"/>
        <v>0</v>
      </c>
      <c r="O47" s="1271">
        <f t="shared" si="3"/>
        <v>-0.4</v>
      </c>
    </row>
    <row r="48" spans="1:15" s="1271" customFormat="1" ht="14.1" customHeight="1" x14ac:dyDescent="0.25">
      <c r="A48" s="1765" t="s">
        <v>491</v>
      </c>
      <c r="B48" s="1765"/>
      <c r="C48" s="1765"/>
      <c r="D48" s="1765"/>
      <c r="E48" s="1765"/>
      <c r="F48" s="1765"/>
      <c r="G48" s="1765"/>
      <c r="H48" s="1765"/>
      <c r="I48" s="1765"/>
      <c r="J48" s="1765"/>
      <c r="K48" s="1765"/>
      <c r="L48" s="1230">
        <f>ROUND(SUM(L43:L47),4)</f>
        <v>4736.8478999999998</v>
      </c>
    </row>
    <row r="49" spans="1:12" s="1272" customFormat="1" ht="3" customHeight="1" x14ac:dyDescent="0.25">
      <c r="A49" s="1241"/>
      <c r="B49" s="1241"/>
      <c r="C49" s="1241"/>
      <c r="D49" s="1241"/>
      <c r="E49" s="1241"/>
      <c r="F49" s="1241"/>
      <c r="G49" s="1241"/>
      <c r="H49" s="1241"/>
      <c r="I49" s="1241"/>
      <c r="J49" s="710"/>
      <c r="K49" s="1242"/>
      <c r="L49" s="1243"/>
    </row>
    <row r="50" spans="1:12" s="1271" customFormat="1" ht="14.1" customHeight="1" x14ac:dyDescent="0.25">
      <c r="A50" s="1696" t="s">
        <v>492</v>
      </c>
      <c r="B50" s="1696"/>
      <c r="C50" s="1696"/>
      <c r="D50" s="1696"/>
      <c r="E50" s="1696"/>
      <c r="F50" s="1696"/>
      <c r="G50" s="1703" t="s">
        <v>493</v>
      </c>
      <c r="H50" s="1697" t="s">
        <v>494</v>
      </c>
      <c r="I50" s="1697"/>
      <c r="J50" s="1697"/>
      <c r="K50" s="1697"/>
      <c r="L50" s="1697" t="s">
        <v>495</v>
      </c>
    </row>
    <row r="51" spans="1:12" s="1271" customFormat="1" ht="14.1" customHeight="1" x14ac:dyDescent="0.25">
      <c r="A51" s="1696"/>
      <c r="B51" s="1696"/>
      <c r="C51" s="1696"/>
      <c r="D51" s="1696"/>
      <c r="E51" s="1696"/>
      <c r="F51" s="1696"/>
      <c r="G51" s="1703"/>
      <c r="H51" s="1211" t="s">
        <v>110</v>
      </c>
      <c r="I51" s="1218" t="s">
        <v>302</v>
      </c>
      <c r="J51" s="1194" t="s">
        <v>305</v>
      </c>
      <c r="K51" s="1233" t="s">
        <v>307</v>
      </c>
      <c r="L51" s="1697"/>
    </row>
    <row r="52" spans="1:12" s="1271" customFormat="1" ht="14.1" customHeight="1" x14ac:dyDescent="0.25">
      <c r="A52" s="1696"/>
      <c r="B52" s="1696"/>
      <c r="C52" s="1696"/>
      <c r="D52" s="1696"/>
      <c r="E52" s="1696"/>
      <c r="F52" s="1696"/>
      <c r="G52" s="1703"/>
      <c r="H52" s="1191" t="s">
        <v>496</v>
      </c>
      <c r="I52" s="1244"/>
      <c r="J52" s="1244"/>
      <c r="K52" s="1244"/>
      <c r="L52" s="1697"/>
    </row>
    <row r="53" spans="1:12" s="1271" customFormat="1" ht="17.100000000000001" customHeight="1" x14ac:dyDescent="0.25">
      <c r="A53" s="1709" t="str">
        <f>A43</f>
        <v>SINAPI –</v>
      </c>
      <c r="B53" s="1710" t="str">
        <f>B43</f>
        <v>00003989</v>
      </c>
      <c r="C53" s="1711" t="s">
        <v>434</v>
      </c>
      <c r="D53" s="1712" t="str">
        <f>D43</f>
        <v>Madeira serrada aparelhada de maçaranduba, angelim ou equivalente da região</v>
      </c>
      <c r="E53" s="1712"/>
      <c r="F53" s="1713" t="s">
        <v>690</v>
      </c>
      <c r="G53" s="1714">
        <f>ROUND((H43*750)/1000,5)</f>
        <v>1.92825</v>
      </c>
      <c r="H53" s="1245" t="s">
        <v>497</v>
      </c>
      <c r="I53" s="1246">
        <f>'[1]Composições - Transportes'!B8</f>
        <v>5914404</v>
      </c>
      <c r="J53" s="1246">
        <f>'[1]Composições - Transportes'!B9</f>
        <v>5914419</v>
      </c>
      <c r="K53" s="1246">
        <f>'[1]Composições - Transportes'!B10</f>
        <v>5914434</v>
      </c>
      <c r="L53" s="1715">
        <f>ROUND(G53*($I$52*I54+$J$52*J54+$K$52*K54),4)</f>
        <v>0</v>
      </c>
    </row>
    <row r="54" spans="1:12" s="1271" customFormat="1" ht="17.100000000000001" customHeight="1" x14ac:dyDescent="0.25">
      <c r="A54" s="1709"/>
      <c r="B54" s="1710"/>
      <c r="C54" s="1711"/>
      <c r="D54" s="1712"/>
      <c r="E54" s="1712"/>
      <c r="F54" s="1713"/>
      <c r="G54" s="1714"/>
      <c r="H54" s="1247" t="s">
        <v>498</v>
      </c>
      <c r="I54" s="1248">
        <f>'[1]Composições - Transportes'!S8</f>
        <v>1.1200000000000001</v>
      </c>
      <c r="J54" s="1248">
        <f>'[1]Composições - Transportes'!S9</f>
        <v>0.89</v>
      </c>
      <c r="K54" s="1248">
        <f>'[1]Composições - Transportes'!S10</f>
        <v>0.71</v>
      </c>
      <c r="L54" s="1715"/>
    </row>
    <row r="55" spans="1:12" s="1271" customFormat="1" ht="17.100000000000001" customHeight="1" x14ac:dyDescent="0.25">
      <c r="A55" s="1767" t="str">
        <f>A44</f>
        <v>SINAPI –</v>
      </c>
      <c r="B55" s="1768" t="str">
        <f>B44</f>
        <v>00004343</v>
      </c>
      <c r="C55" s="1769" t="s">
        <v>434</v>
      </c>
      <c r="D55" s="1773" t="str">
        <f>D44</f>
        <v>Parafuso francês zincado, diâmetro 1/2", comprimento 4", com porca e arruela lisa média</v>
      </c>
      <c r="E55" s="1773"/>
      <c r="F55" s="1771" t="s">
        <v>690</v>
      </c>
      <c r="G55" s="1772">
        <f>ROUND(H44/1000,5)</f>
        <v>2.3740000000000001E-2</v>
      </c>
      <c r="H55" s="1247" t="s">
        <v>497</v>
      </c>
      <c r="I55" s="1474">
        <f>'[1]Composições - Transportes'!B8</f>
        <v>5914404</v>
      </c>
      <c r="J55" s="1474">
        <f>'[1]Composições - Transportes'!B9</f>
        <v>5914419</v>
      </c>
      <c r="K55" s="1474">
        <f>'[1]Composições - Transportes'!B10</f>
        <v>5914434</v>
      </c>
      <c r="L55" s="1766">
        <f>ROUND(G55*($I$52*I56+$J$52*J56+$K$52*K56),4)</f>
        <v>0</v>
      </c>
    </row>
    <row r="56" spans="1:12" s="1271" customFormat="1" ht="17.100000000000001" customHeight="1" x14ac:dyDescent="0.25">
      <c r="A56" s="1767"/>
      <c r="B56" s="1768"/>
      <c r="C56" s="1769"/>
      <c r="D56" s="1773"/>
      <c r="E56" s="1773"/>
      <c r="F56" s="1771"/>
      <c r="G56" s="1772"/>
      <c r="H56" s="1247" t="s">
        <v>498</v>
      </c>
      <c r="I56" s="1248">
        <f>'[1]Composições - Transportes'!S8</f>
        <v>1.1200000000000001</v>
      </c>
      <c r="J56" s="1248">
        <f>'[1]Composições - Transportes'!S9</f>
        <v>0.89</v>
      </c>
      <c r="K56" s="1248">
        <f>'[1]Composições - Transportes'!S10</f>
        <v>0.71</v>
      </c>
      <c r="L56" s="1766"/>
    </row>
    <row r="57" spans="1:12" s="1271" customFormat="1" ht="15" customHeight="1" x14ac:dyDescent="0.25">
      <c r="A57" s="1767" t="str">
        <f>A45</f>
        <v>DNIT –</v>
      </c>
      <c r="B57" s="1768" t="str">
        <f>B45</f>
        <v>M1205</v>
      </c>
      <c r="C57" s="1769" t="s">
        <v>434</v>
      </c>
      <c r="D57" s="1770" t="str">
        <f>D45</f>
        <v>Pregos de ferro</v>
      </c>
      <c r="E57" s="1770"/>
      <c r="F57" s="1771" t="s">
        <v>690</v>
      </c>
      <c r="G57" s="1772">
        <f>ROUND(H45/1000,5)</f>
        <v>4.2399999999999998E-3</v>
      </c>
      <c r="H57" s="1247" t="s">
        <v>497</v>
      </c>
      <c r="I57" s="1474">
        <f>'[1]Composições - Transportes'!B8</f>
        <v>5914404</v>
      </c>
      <c r="J57" s="1474">
        <f>'[1]Composições - Transportes'!B9</f>
        <v>5914419</v>
      </c>
      <c r="K57" s="1474">
        <f>'[1]Composições - Transportes'!B10</f>
        <v>5914434</v>
      </c>
      <c r="L57" s="1766">
        <f>ROUND(G57*($I$52*I58+$J$52*J58+$K$52*K58),4)</f>
        <v>0</v>
      </c>
    </row>
    <row r="58" spans="1:12" s="1271" customFormat="1" ht="15" customHeight="1" x14ac:dyDescent="0.25">
      <c r="A58" s="1767"/>
      <c r="B58" s="1768"/>
      <c r="C58" s="1769"/>
      <c r="D58" s="1770"/>
      <c r="E58" s="1770"/>
      <c r="F58" s="1771"/>
      <c r="G58" s="1772"/>
      <c r="H58" s="1247" t="s">
        <v>498</v>
      </c>
      <c r="I58" s="1248">
        <f>'[1]Composições - Transportes'!S8</f>
        <v>1.1200000000000001</v>
      </c>
      <c r="J58" s="1248">
        <f>'[1]Composições - Transportes'!S9</f>
        <v>0.89</v>
      </c>
      <c r="K58" s="1248">
        <f>'[1]Composições - Transportes'!S10</f>
        <v>0.71</v>
      </c>
      <c r="L58" s="1766"/>
    </row>
    <row r="59" spans="1:12" s="1271" customFormat="1" ht="21.75" customHeight="1" x14ac:dyDescent="0.25">
      <c r="A59" s="1767"/>
      <c r="B59" s="1768"/>
      <c r="C59" s="1769"/>
      <c r="D59" s="1770"/>
      <c r="E59" s="1770"/>
      <c r="F59" s="1771"/>
      <c r="G59" s="1772"/>
      <c r="H59" s="1247"/>
      <c r="I59" s="1474"/>
      <c r="J59" s="1474"/>
      <c r="K59" s="1474"/>
      <c r="L59" s="1766">
        <f>ROUND(G59*($I$52*I60+$J$52*J60+$K$52*K60),4)</f>
        <v>0</v>
      </c>
    </row>
    <row r="60" spans="1:12" s="1271" customFormat="1" ht="20.25" customHeight="1" x14ac:dyDescent="0.25">
      <c r="A60" s="1767"/>
      <c r="B60" s="1768"/>
      <c r="C60" s="1769"/>
      <c r="D60" s="1770"/>
      <c r="E60" s="1770"/>
      <c r="F60" s="1771"/>
      <c r="G60" s="1772"/>
      <c r="H60" s="1247"/>
      <c r="I60" s="1248"/>
      <c r="J60" s="1248"/>
      <c r="K60" s="1248"/>
      <c r="L60" s="1766"/>
    </row>
    <row r="61" spans="1:12" s="1271" customFormat="1" ht="14.1" customHeight="1" x14ac:dyDescent="0.25">
      <c r="A61" s="1707" t="s">
        <v>499</v>
      </c>
      <c r="B61" s="1707"/>
      <c r="C61" s="1707"/>
      <c r="D61" s="1707"/>
      <c r="E61" s="1707"/>
      <c r="F61" s="1707"/>
      <c r="G61" s="1707"/>
      <c r="H61" s="1707"/>
      <c r="I61" s="1707"/>
      <c r="J61" s="1707"/>
      <c r="K61" s="1707"/>
      <c r="L61" s="1253">
        <f>ROUND(SUM(L53:L60),4)</f>
        <v>0</v>
      </c>
    </row>
    <row r="62" spans="1:12" s="1271" customFormat="1" ht="3" customHeight="1" x14ac:dyDescent="0.25">
      <c r="A62" s="1254"/>
      <c r="B62" s="1254"/>
      <c r="C62" s="1254"/>
      <c r="D62" s="1254"/>
      <c r="E62" s="1254"/>
      <c r="F62" s="1254"/>
      <c r="G62" s="1241"/>
      <c r="H62" s="1255"/>
      <c r="I62" s="1255"/>
      <c r="J62" s="1256"/>
      <c r="K62" s="1257"/>
      <c r="L62" s="1348"/>
    </row>
    <row r="63" spans="1:12" s="1271" customFormat="1" ht="15" customHeight="1" x14ac:dyDescent="0.25">
      <c r="A63" s="1707" t="s">
        <v>448</v>
      </c>
      <c r="B63" s="1707"/>
      <c r="C63" s="1707"/>
      <c r="D63" s="1707"/>
      <c r="E63" s="1707"/>
      <c r="F63" s="1707"/>
      <c r="G63" s="1707"/>
      <c r="H63" s="1707"/>
      <c r="I63" s="1707"/>
      <c r="J63" s="1707"/>
      <c r="K63" s="1707"/>
      <c r="L63" s="1253">
        <f>ROUND(L39+L48+L61,4)</f>
        <v>5547.3806000000004</v>
      </c>
    </row>
    <row r="64" spans="1:12" s="1271" customFormat="1" ht="15" customHeight="1" x14ac:dyDescent="0.25">
      <c r="A64" s="1716" t="s">
        <v>449</v>
      </c>
      <c r="B64" s="1716"/>
      <c r="C64" s="1716"/>
      <c r="D64" s="1716"/>
      <c r="E64" s="1716"/>
      <c r="F64" s="1716"/>
      <c r="G64" s="1716"/>
      <c r="H64" s="1716"/>
      <c r="I64" s="1716"/>
      <c r="J64" s="1716"/>
      <c r="K64" s="1259">
        <f>[1]LDI!I34</f>
        <v>0.25569999999999998</v>
      </c>
      <c r="L64" s="1298">
        <f>ROUND(L63*K64,4)</f>
        <v>1418.4652000000001</v>
      </c>
    </row>
    <row r="65" spans="1:12" s="1271" customFormat="1" ht="20.100000000000001" customHeight="1" x14ac:dyDescent="0.25">
      <c r="A65" s="1704" t="s">
        <v>450</v>
      </c>
      <c r="B65" s="1704"/>
      <c r="C65" s="1704"/>
      <c r="D65" s="1704"/>
      <c r="E65" s="1704"/>
      <c r="F65" s="1704"/>
      <c r="G65" s="1704"/>
      <c r="H65" s="1704"/>
      <c r="I65" s="1704"/>
      <c r="J65" s="1704"/>
      <c r="K65" s="1704"/>
      <c r="L65" s="1260">
        <f>ROUND(L63+L64,2)</f>
        <v>6965.85</v>
      </c>
    </row>
    <row r="66" spans="1:12" s="1271" customFormat="1" ht="3" customHeight="1" x14ac:dyDescent="0.25">
      <c r="A66" s="1261"/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</row>
    <row r="67" spans="1:12" s="1271" customFormat="1" ht="7.5" customHeight="1" x14ac:dyDescent="0.25">
      <c r="A67" s="1267"/>
      <c r="B67" s="1268"/>
      <c r="C67" s="1268"/>
      <c r="D67" s="1268"/>
      <c r="E67" s="1268"/>
      <c r="F67" s="1268"/>
      <c r="G67" s="1268"/>
      <c r="H67" s="1268"/>
      <c r="I67" s="1268"/>
      <c r="J67" s="1268"/>
      <c r="K67" s="1268"/>
      <c r="L67" s="1269"/>
    </row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75">
    <mergeCell ref="L59:L60"/>
    <mergeCell ref="A61:K61"/>
    <mergeCell ref="A63:K63"/>
    <mergeCell ref="A64:J64"/>
    <mergeCell ref="A65:K65"/>
    <mergeCell ref="A59:A60"/>
    <mergeCell ref="B59:B60"/>
    <mergeCell ref="C59:C60"/>
    <mergeCell ref="D59:E60"/>
    <mergeCell ref="F59:F60"/>
    <mergeCell ref="G59:G60"/>
    <mergeCell ref="L55:L56"/>
    <mergeCell ref="A57:A58"/>
    <mergeCell ref="B57:B58"/>
    <mergeCell ref="C57:C58"/>
    <mergeCell ref="D57:E58"/>
    <mergeCell ref="F57:F58"/>
    <mergeCell ref="G57:G58"/>
    <mergeCell ref="L57:L58"/>
    <mergeCell ref="A55:A56"/>
    <mergeCell ref="B55:B56"/>
    <mergeCell ref="C55:C56"/>
    <mergeCell ref="D55:E56"/>
    <mergeCell ref="F55:F56"/>
    <mergeCell ref="G55:G56"/>
    <mergeCell ref="L50:L52"/>
    <mergeCell ref="A53:A54"/>
    <mergeCell ref="B53:B54"/>
    <mergeCell ref="C53:C54"/>
    <mergeCell ref="D53:E54"/>
    <mergeCell ref="F53:F54"/>
    <mergeCell ref="G53:G54"/>
    <mergeCell ref="L53:L54"/>
    <mergeCell ref="A50:F52"/>
    <mergeCell ref="G50:G52"/>
    <mergeCell ref="H50:K50"/>
    <mergeCell ref="H45:I45"/>
    <mergeCell ref="A46:B46"/>
    <mergeCell ref="H46:I46"/>
    <mergeCell ref="H47:I47"/>
    <mergeCell ref="A48:K48"/>
    <mergeCell ref="A41:G42"/>
    <mergeCell ref="H41:I42"/>
    <mergeCell ref="J41:J42"/>
    <mergeCell ref="H43:I43"/>
    <mergeCell ref="D44:E44"/>
    <mergeCell ref="H44:I44"/>
    <mergeCell ref="D28:I28"/>
    <mergeCell ref="D29:I29"/>
    <mergeCell ref="D30:I30"/>
    <mergeCell ref="A32:K32"/>
    <mergeCell ref="A39:H39"/>
    <mergeCell ref="I39:K39"/>
    <mergeCell ref="D19:F19"/>
    <mergeCell ref="D20:F20"/>
    <mergeCell ref="D21:F21"/>
    <mergeCell ref="A24:K24"/>
    <mergeCell ref="A26:I27"/>
    <mergeCell ref="J26:J27"/>
    <mergeCell ref="K26:K27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  <mergeCell ref="A8:L8"/>
    <mergeCell ref="A9:D9"/>
    <mergeCell ref="E9:L9"/>
    <mergeCell ref="A12:L13"/>
    <mergeCell ref="E15:J15"/>
  </mergeCells>
  <dataValidations count="1">
    <dataValidation allowBlank="1" showInputMessage="1" showErrorMessage="1" prompt="Clique duas vezes sobre o número do item para ser direcionado à Planilha Orçamentária." sqref="D15" xr:uid="{00000000-0002-0000-1F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1" width="7.6640625" style="713" customWidth="1"/>
    <col min="2" max="2" width="8.7773437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'7.1'!A3:K3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'7.1'!A4:K4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8.25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691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9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39.75" customHeight="1" x14ac:dyDescent="0.25">
      <c r="A15" s="1186" t="s">
        <v>415</v>
      </c>
      <c r="B15" s="1187"/>
      <c r="C15" s="1187"/>
      <c r="D15" s="1471" t="str">
        <f>'[1]Planilha orçamentária'!B128</f>
        <v>7.2</v>
      </c>
      <c r="E15" s="1695" t="s">
        <v>692</v>
      </c>
      <c r="F15" s="1695"/>
      <c r="G15" s="1695"/>
      <c r="H15" s="1695"/>
      <c r="I15" s="1695"/>
      <c r="J15" s="1695"/>
      <c r="K15" s="1189" t="s">
        <v>417</v>
      </c>
      <c r="L15" s="1190" t="s">
        <v>418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2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2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2" s="1271" customFormat="1" ht="21" customHeight="1" x14ac:dyDescent="0.25">
      <c r="A19" s="1195" t="str">
        <f>'[1]Composições - Equipamentos'!A18</f>
        <v>DNIT –</v>
      </c>
      <c r="B19" s="1196" t="str">
        <f>'[1]Composições - Equipamentos'!B18</f>
        <v>E9508</v>
      </c>
      <c r="C19" s="1197" t="s">
        <v>434</v>
      </c>
      <c r="D19" s="1719" t="str">
        <f>'[1]Composições - Equipamentos'!C18</f>
        <v>Caminhão carroceria com capacidade de 9 t - 136 kW (Atego 1419 - Mercedes-Benz)</v>
      </c>
      <c r="E19" s="1719"/>
      <c r="F19" s="1719"/>
      <c r="G19" s="1199">
        <v>0.3</v>
      </c>
      <c r="H19" s="1200">
        <v>1</v>
      </c>
      <c r="I19" s="1201">
        <v>0</v>
      </c>
      <c r="J19" s="1299">
        <f>'[1]Composições - Equipamentos'!S18</f>
        <v>159.31229999999999</v>
      </c>
      <c r="K19" s="1299">
        <f>'[1]Composições - Equipamentos'!T18</f>
        <v>52.926499999999997</v>
      </c>
      <c r="L19" s="1289">
        <f t="shared" ref="L19:L22" si="0">ROUND((G19*H19*J19)+(G19*I19*K19),4)</f>
        <v>47.793700000000001</v>
      </c>
    </row>
    <row r="20" spans="1:12" s="1271" customFormat="1" ht="24.9" customHeight="1" x14ac:dyDescent="0.25">
      <c r="A20" s="1195" t="str">
        <f>'[1]Composições - Equipamentos'!A34</f>
        <v>DNIT –</v>
      </c>
      <c r="B20" s="1196" t="str">
        <f>'[1]Composições - Equipamentos'!B34</f>
        <v>E9537</v>
      </c>
      <c r="C20" s="1197" t="s">
        <v>434</v>
      </c>
      <c r="D20" s="1701" t="str">
        <f>'[1]Composições - Equipamentos'!C34</f>
        <v>Carregadeira de pneus com capacidade de 1,72 m³ - 113 kW (W20E - Case Construction)</v>
      </c>
      <c r="E20" s="1701"/>
      <c r="F20" s="1701"/>
      <c r="G20" s="1199">
        <v>0.2</v>
      </c>
      <c r="H20" s="1200">
        <v>1</v>
      </c>
      <c r="I20" s="1201">
        <v>0</v>
      </c>
      <c r="J20" s="1299">
        <f>'[1]Composições - Equipamentos'!S34</f>
        <v>148.14930000000001</v>
      </c>
      <c r="K20" s="1299">
        <f>'[1]Composições - Equipamentos'!T34</f>
        <v>57.7425</v>
      </c>
      <c r="L20" s="1289">
        <f t="shared" si="0"/>
        <v>29.629899999999999</v>
      </c>
    </row>
    <row r="21" spans="1:12" s="1271" customFormat="1" ht="14.1" customHeight="1" x14ac:dyDescent="0.25">
      <c r="A21" s="1195" t="str">
        <f>'[1]Composições - Equipamentos'!A16</f>
        <v>DNIT –</v>
      </c>
      <c r="B21" s="1196" t="str">
        <f>'[1]Composições - Equipamentos'!B16</f>
        <v>E9502</v>
      </c>
      <c r="C21" s="1197" t="s">
        <v>434</v>
      </c>
      <c r="D21" s="1701" t="str">
        <f>'[1]Composições - Equipamentos'!C16</f>
        <v>Bate-estaca de gravidade para 3,5 a 4,0 t - 119 Kw</v>
      </c>
      <c r="E21" s="1701"/>
      <c r="F21" s="1701"/>
      <c r="G21" s="1199">
        <v>0.2</v>
      </c>
      <c r="H21" s="1200">
        <v>1</v>
      </c>
      <c r="I21" s="1201">
        <v>0</v>
      </c>
      <c r="J21" s="1299">
        <f>'[1]Composições - Equipamentos'!S16</f>
        <v>208.65170000000001</v>
      </c>
      <c r="K21" s="1299">
        <f>'[1]Composições - Equipamentos'!T16</f>
        <v>98.188400000000001</v>
      </c>
      <c r="L21" s="1289">
        <f t="shared" si="0"/>
        <v>41.7303</v>
      </c>
    </row>
    <row r="22" spans="1:12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200"/>
      <c r="I22" s="1201"/>
      <c r="J22" s="1301"/>
      <c r="K22" s="1300"/>
      <c r="L22" s="1289">
        <f t="shared" si="0"/>
        <v>0</v>
      </c>
    </row>
    <row r="23" spans="1:12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ROUND(SUM(L19:L22),4)</f>
        <v>119.15389999999999</v>
      </c>
    </row>
    <row r="24" spans="1:12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2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2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2" s="1271" customFormat="1" ht="14.1" customHeight="1" x14ac:dyDescent="0.25">
      <c r="A27" s="1195" t="str">
        <f>'[1]Atualização de custos unitarios'!A79</f>
        <v>DNIT –</v>
      </c>
      <c r="B27" s="1212" t="str">
        <f>'[1]Atualização de custos unitarios'!B79</f>
        <v>P9808</v>
      </c>
      <c r="C27" s="1197" t="s">
        <v>434</v>
      </c>
      <c r="D27" s="1699" t="str">
        <f>'[1]Atualização de custos unitarios'!C79</f>
        <v>Carpinteiro</v>
      </c>
      <c r="E27" s="1699"/>
      <c r="F27" s="1699"/>
      <c r="G27" s="1699"/>
      <c r="H27" s="1699"/>
      <c r="I27" s="1699"/>
      <c r="J27" s="1357">
        <v>3</v>
      </c>
      <c r="K27" s="1252">
        <f>'1.1'!G96</f>
        <v>19.7652</v>
      </c>
      <c r="L27" s="1293">
        <f t="shared" ref="L27:L30" si="1">ROUND(J27*K27,4)</f>
        <v>59.2956</v>
      </c>
    </row>
    <row r="28" spans="1:12" s="1271" customFormat="1" ht="9.4499999999999993" customHeight="1" x14ac:dyDescent="0.25">
      <c r="A28" s="1195" t="str">
        <f>'[1]Atualização de custos unitarios'!A84</f>
        <v>DNIT –</v>
      </c>
      <c r="B28" s="1212" t="str">
        <f>'[1]Atualização de custos unitarios'!B84</f>
        <v>P9824</v>
      </c>
      <c r="C28" s="1197" t="s">
        <v>434</v>
      </c>
      <c r="D28" s="1699" t="str">
        <f>'[1]Atualização de custos unitarios'!C84</f>
        <v>Servente</v>
      </c>
      <c r="E28" s="1699"/>
      <c r="F28" s="1699"/>
      <c r="G28" s="1699"/>
      <c r="H28" s="1699"/>
      <c r="I28" s="1699"/>
      <c r="J28" s="1357">
        <v>5</v>
      </c>
      <c r="K28" s="1252">
        <f>'1.1'!G100</f>
        <v>14.981199999999999</v>
      </c>
      <c r="L28" s="1293">
        <f t="shared" si="1"/>
        <v>74.906000000000006</v>
      </c>
    </row>
    <row r="29" spans="1:12" s="1271" customFormat="1" ht="14.1" customHeight="1" x14ac:dyDescent="0.25">
      <c r="A29" s="1195" t="str">
        <f>'[1]Atualização de custos unitarios'!A74</f>
        <v>DNIT –</v>
      </c>
      <c r="B29" s="1273" t="str">
        <f>'[1]Atualização de custos unitarios'!B74</f>
        <v>P9801</v>
      </c>
      <c r="C29" s="1197" t="s">
        <v>434</v>
      </c>
      <c r="D29" s="1699" t="str">
        <f>'[1]Atualização de custos unitarios'!C74</f>
        <v>Ajudante</v>
      </c>
      <c r="E29" s="1699"/>
      <c r="F29" s="1699"/>
      <c r="G29" s="1699"/>
      <c r="H29" s="1699"/>
      <c r="I29" s="1699"/>
      <c r="J29" s="1357">
        <v>5</v>
      </c>
      <c r="K29" s="1252">
        <f>'1.1'!G92</f>
        <v>15.729999999999999</v>
      </c>
      <c r="L29" s="1293">
        <f t="shared" si="1"/>
        <v>78.650000000000006</v>
      </c>
    </row>
    <row r="30" spans="1:12" s="1271" customFormat="1" ht="14.1" customHeight="1" x14ac:dyDescent="0.25">
      <c r="A30" s="1216"/>
      <c r="B30" s="1217"/>
      <c r="C30" s="1217"/>
      <c r="D30" s="1217"/>
      <c r="E30" s="1217"/>
      <c r="F30" s="1217"/>
      <c r="G30" s="1173"/>
      <c r="H30" s="1193"/>
      <c r="I30" s="1218"/>
      <c r="J30" s="1219"/>
      <c r="K30" s="1252"/>
      <c r="L30" s="1293">
        <f t="shared" si="1"/>
        <v>0</v>
      </c>
    </row>
    <row r="31" spans="1:12" s="1271" customFormat="1" ht="14.1" customHeight="1" x14ac:dyDescent="0.25">
      <c r="A31" s="1702" t="s">
        <v>478</v>
      </c>
      <c r="B31" s="1702"/>
      <c r="C31" s="1702"/>
      <c r="D31" s="1702"/>
      <c r="E31" s="1702"/>
      <c r="F31" s="1702"/>
      <c r="G31" s="1702"/>
      <c r="H31" s="1702"/>
      <c r="I31" s="1702"/>
      <c r="J31" s="1702"/>
      <c r="K31" s="1702"/>
      <c r="L31" s="1208">
        <f>ROUND(SUM(L27:L30),4)</f>
        <v>212.85159999999999</v>
      </c>
    </row>
    <row r="32" spans="1:12" s="1272" customFormat="1" ht="3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10"/>
      <c r="L32" s="1229"/>
    </row>
    <row r="33" spans="1:12" s="1272" customFormat="1" ht="14.1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20" t="s">
        <v>479</v>
      </c>
      <c r="L33" s="1221">
        <f>L23+L31</f>
        <v>332.00549999999998</v>
      </c>
    </row>
    <row r="34" spans="1:12" s="1272" customFormat="1" ht="14.1" customHeight="1" x14ac:dyDescent="0.25">
      <c r="A34" s="1222" t="s">
        <v>480</v>
      </c>
      <c r="B34" s="1209"/>
      <c r="C34" s="1209"/>
      <c r="D34" s="1209"/>
      <c r="E34" s="1209"/>
      <c r="F34" s="1223">
        <v>1</v>
      </c>
      <c r="G34" s="1224" t="str">
        <f>L15</f>
        <v xml:space="preserve">un </v>
      </c>
      <c r="H34" s="1222"/>
      <c r="I34" s="1209"/>
      <c r="J34" s="1225"/>
      <c r="K34" s="1226" t="s">
        <v>481</v>
      </c>
      <c r="L34" s="1208">
        <f>ROUND(L33/F34,4)</f>
        <v>332.00549999999998</v>
      </c>
    </row>
    <row r="35" spans="1:12" s="1272" customFormat="1" ht="14.1" customHeight="1" x14ac:dyDescent="0.25">
      <c r="A35" s="1222"/>
      <c r="B35" s="1209" t="s">
        <v>482</v>
      </c>
      <c r="C35" s="1209"/>
      <c r="D35" s="1209"/>
      <c r="E35" s="1209"/>
      <c r="F35" s="1223"/>
      <c r="G35" s="1224"/>
      <c r="H35" s="1222"/>
      <c r="I35" s="1209"/>
      <c r="J35" s="1225"/>
      <c r="K35" s="1220" t="s">
        <v>483</v>
      </c>
      <c r="L35" s="1208">
        <f>ROUND(L34*F35,4)</f>
        <v>0</v>
      </c>
    </row>
    <row r="36" spans="1:12" s="1272" customFormat="1" ht="14.1" customHeight="1" x14ac:dyDescent="0.25">
      <c r="A36" s="1222"/>
      <c r="B36" s="1209" t="s">
        <v>484</v>
      </c>
      <c r="C36" s="1209"/>
      <c r="D36" s="1209"/>
      <c r="E36" s="1209"/>
      <c r="F36" s="1227"/>
      <c r="G36" s="1224"/>
      <c r="H36" s="1225"/>
      <c r="I36" s="1228"/>
      <c r="J36" s="1210"/>
      <c r="K36" s="1220" t="s">
        <v>485</v>
      </c>
      <c r="L36" s="1208">
        <f>ROUND(L34*F36,4)</f>
        <v>0</v>
      </c>
    </row>
    <row r="37" spans="1:12" s="1272" customFormat="1" ht="3" customHeight="1" x14ac:dyDescent="0.25">
      <c r="A37" s="1209"/>
      <c r="B37" s="1209"/>
      <c r="C37" s="1209"/>
      <c r="D37" s="1209"/>
      <c r="E37" s="1209"/>
      <c r="F37" s="1209"/>
      <c r="G37" s="1209"/>
      <c r="H37" s="1209"/>
      <c r="I37" s="1209"/>
      <c r="J37" s="1210"/>
      <c r="K37" s="1210"/>
      <c r="L37" s="1229"/>
    </row>
    <row r="38" spans="1:12" s="1271" customFormat="1" ht="14.1" customHeight="1" x14ac:dyDescent="0.25">
      <c r="A38" s="1696" t="s">
        <v>486</v>
      </c>
      <c r="B38" s="1696"/>
      <c r="C38" s="1696"/>
      <c r="D38" s="1696"/>
      <c r="E38" s="1696"/>
      <c r="F38" s="1696"/>
      <c r="G38" s="1696"/>
      <c r="H38" s="1696"/>
      <c r="I38" s="1704" t="s">
        <v>487</v>
      </c>
      <c r="J38" s="1704"/>
      <c r="K38" s="1704"/>
      <c r="L38" s="1230">
        <f>ROUND(SUM(L34:L37),4)</f>
        <v>332.00549999999998</v>
      </c>
    </row>
    <row r="39" spans="1:12" s="1272" customFormat="1" ht="3" customHeight="1" x14ac:dyDescent="0.25">
      <c r="A39" s="710"/>
      <c r="B39" s="710"/>
      <c r="C39" s="710"/>
      <c r="D39" s="710"/>
      <c r="E39" s="710"/>
      <c r="F39" s="710"/>
      <c r="G39" s="1231"/>
      <c r="H39" s="1231"/>
      <c r="I39" s="1232"/>
      <c r="J39" s="1232"/>
      <c r="K39" s="1232"/>
      <c r="L39" s="710"/>
    </row>
    <row r="40" spans="1:12" s="1271" customFormat="1" ht="14.1" customHeight="1" x14ac:dyDescent="0.25">
      <c r="A40" s="1725" t="s">
        <v>488</v>
      </c>
      <c r="B40" s="1725"/>
      <c r="C40" s="1725"/>
      <c r="D40" s="1725"/>
      <c r="E40" s="1725"/>
      <c r="F40" s="1725"/>
      <c r="G40" s="1725"/>
      <c r="H40" s="1762" t="s">
        <v>164</v>
      </c>
      <c r="I40" s="1762"/>
      <c r="J40" s="1762" t="s">
        <v>163</v>
      </c>
      <c r="K40" s="1192" t="s">
        <v>489</v>
      </c>
      <c r="L40" s="1192" t="s">
        <v>472</v>
      </c>
    </row>
    <row r="41" spans="1:12" s="1271" customFormat="1" ht="14.1" customHeight="1" x14ac:dyDescent="0.25">
      <c r="A41" s="1725"/>
      <c r="B41" s="1725"/>
      <c r="C41" s="1725"/>
      <c r="D41" s="1725"/>
      <c r="E41" s="1725"/>
      <c r="F41" s="1725"/>
      <c r="G41" s="1725"/>
      <c r="H41" s="1762"/>
      <c r="I41" s="1762"/>
      <c r="J41" s="1762"/>
      <c r="K41" s="1200" t="s">
        <v>490</v>
      </c>
      <c r="L41" s="1472" t="s">
        <v>490</v>
      </c>
    </row>
    <row r="42" spans="1:12" s="1271" customFormat="1" ht="14.1" customHeight="1" x14ac:dyDescent="0.25">
      <c r="A42" s="1334" t="str">
        <f>'[1]Atualização de custos unitarios'!A180</f>
        <v>SINAPI –</v>
      </c>
      <c r="B42" s="1335" t="str">
        <f>'[1]Atualização de custos unitarios'!B180</f>
        <v>00003989</v>
      </c>
      <c r="C42" s="1255" t="s">
        <v>434</v>
      </c>
      <c r="D42" s="1254" t="str">
        <f>'[1]Atualização de custos unitarios'!C180</f>
        <v>Madeira serrada aparelhada de maçaranduba, angelim ou equivalente da região</v>
      </c>
      <c r="E42" s="1254"/>
      <c r="F42" s="1254"/>
      <c r="G42" s="1281"/>
      <c r="H42" s="1705">
        <f>'[1]Quant. Ponte Madeira'!E86</f>
        <v>4.1124999999999998</v>
      </c>
      <c r="I42" s="1705"/>
      <c r="J42" s="1473" t="str">
        <f>'[1]Atualização de custos unitarios'!D180</f>
        <v>m³</v>
      </c>
      <c r="K42" s="1337">
        <v>1576.1399999999999</v>
      </c>
      <c r="L42" s="1238">
        <f t="shared" ref="L42:L45" si="2">ROUND(H42*K42,4)</f>
        <v>6481.8757999999998</v>
      </c>
    </row>
    <row r="43" spans="1:12" s="1271" customFormat="1" ht="35.1" customHeight="1" x14ac:dyDescent="0.25">
      <c r="A43" s="1318" t="str">
        <f>'[1]Atualização de custos unitarios'!A182</f>
        <v>SINAPI –</v>
      </c>
      <c r="B43" s="1319" t="str">
        <f>'[1]Atualização de custos unitarios'!B182</f>
        <v>00004343</v>
      </c>
      <c r="C43" s="1197" t="s">
        <v>434</v>
      </c>
      <c r="D43" s="1763" t="str">
        <f>'[1]Atualização de custos unitarios'!C182</f>
        <v>Parafuso francês zincado, diâmetro 1/2", comprimento 4", com porca e arruela lisa média</v>
      </c>
      <c r="E43" s="1763"/>
      <c r="F43" s="1204" t="s">
        <v>689</v>
      </c>
      <c r="G43" s="1235"/>
      <c r="H43" s="1727">
        <v>11.87</v>
      </c>
      <c r="I43" s="1727"/>
      <c r="J43" s="1237" t="str">
        <f>'[1]Atualização de custos unitarios'!D183</f>
        <v>kg</v>
      </c>
      <c r="K43" s="1252">
        <v>20.752400000000002</v>
      </c>
      <c r="L43" s="1202">
        <f t="shared" si="2"/>
        <v>246.33099999999999</v>
      </c>
    </row>
    <row r="44" spans="1:12" s="1271" customFormat="1" ht="14.1" customHeight="1" x14ac:dyDescent="0.25">
      <c r="A44" s="1318" t="str">
        <f>'[1]Atualização de custos unitarios'!A147</f>
        <v>DNIT –</v>
      </c>
      <c r="B44" s="1319" t="str">
        <f>'[1]Atualização de custos unitarios'!B147</f>
        <v>M1205</v>
      </c>
      <c r="C44" s="1197" t="s">
        <v>434</v>
      </c>
      <c r="D44" s="1204" t="str">
        <f>'[1]Atualização de custos unitarios'!C147</f>
        <v>Pregos de ferro</v>
      </c>
      <c r="E44" s="1204"/>
      <c r="F44" s="1204"/>
      <c r="G44" s="1198"/>
      <c r="H44" s="1727">
        <v>2.1175000000000002</v>
      </c>
      <c r="I44" s="1727"/>
      <c r="J44" s="1237" t="str">
        <f>'[1]Atualização de custos unitarios'!D147</f>
        <v>kg</v>
      </c>
      <c r="K44" s="1252">
        <v>9.974499999999999</v>
      </c>
      <c r="L44" s="1202">
        <f t="shared" si="2"/>
        <v>21.120999999999999</v>
      </c>
    </row>
    <row r="45" spans="1:12" s="1271" customFormat="1" ht="9.4499999999999993" customHeight="1" x14ac:dyDescent="0.25">
      <c r="A45" s="1338"/>
      <c r="B45" s="1339"/>
      <c r="C45" s="1193"/>
      <c r="D45" s="1217"/>
      <c r="E45" s="1217"/>
      <c r="F45" s="1217"/>
      <c r="G45" s="1240"/>
      <c r="H45" s="1764"/>
      <c r="I45" s="1764"/>
      <c r="J45" s="1340"/>
      <c r="K45" s="1341"/>
      <c r="L45" s="1206">
        <f t="shared" si="2"/>
        <v>0</v>
      </c>
    </row>
    <row r="46" spans="1:12" s="1271" customFormat="1" ht="14.1" customHeight="1" x14ac:dyDescent="0.25">
      <c r="A46" s="1765" t="s">
        <v>491</v>
      </c>
      <c r="B46" s="1765"/>
      <c r="C46" s="1765"/>
      <c r="D46" s="1765"/>
      <c r="E46" s="1765"/>
      <c r="F46" s="1765"/>
      <c r="G46" s="1765"/>
      <c r="H46" s="1765"/>
      <c r="I46" s="1765"/>
      <c r="J46" s="1765"/>
      <c r="K46" s="1765"/>
      <c r="L46" s="1230">
        <f>ROUND(SUM(L42:L45),4)</f>
        <v>6749.3278</v>
      </c>
    </row>
    <row r="47" spans="1:12" s="1272" customFormat="1" ht="3" customHeight="1" x14ac:dyDescent="0.25">
      <c r="A47" s="1241"/>
      <c r="B47" s="1241"/>
      <c r="C47" s="1241"/>
      <c r="D47" s="1241"/>
      <c r="E47" s="1241"/>
      <c r="F47" s="1241"/>
      <c r="G47" s="1241"/>
      <c r="H47" s="1241"/>
      <c r="I47" s="1241"/>
      <c r="J47" s="710"/>
      <c r="K47" s="1242"/>
      <c r="L47" s="1243"/>
    </row>
    <row r="48" spans="1:12" s="1271" customFormat="1" ht="14.1" customHeight="1" x14ac:dyDescent="0.25">
      <c r="A48" s="1696" t="s">
        <v>492</v>
      </c>
      <c r="B48" s="1696"/>
      <c r="C48" s="1696"/>
      <c r="D48" s="1696"/>
      <c r="E48" s="1696"/>
      <c r="F48" s="1696"/>
      <c r="G48" s="1703" t="s">
        <v>493</v>
      </c>
      <c r="H48" s="1697" t="s">
        <v>494</v>
      </c>
      <c r="I48" s="1697"/>
      <c r="J48" s="1697"/>
      <c r="K48" s="1697"/>
      <c r="L48" s="1697" t="s">
        <v>495</v>
      </c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211" t="s">
        <v>110</v>
      </c>
      <c r="I49" s="1218" t="s">
        <v>302</v>
      </c>
      <c r="J49" s="1194" t="s">
        <v>305</v>
      </c>
      <c r="K49" s="1233" t="s">
        <v>307</v>
      </c>
      <c r="L49" s="1697"/>
    </row>
    <row r="50" spans="1:12" s="1271" customFormat="1" ht="14.1" customHeight="1" x14ac:dyDescent="0.25">
      <c r="A50" s="1696"/>
      <c r="B50" s="1696"/>
      <c r="C50" s="1696"/>
      <c r="D50" s="1696"/>
      <c r="E50" s="1696"/>
      <c r="F50" s="1696"/>
      <c r="G50" s="1703"/>
      <c r="H50" s="1191" t="s">
        <v>496</v>
      </c>
      <c r="I50" s="1244"/>
      <c r="J50" s="1244"/>
      <c r="K50" s="1244"/>
      <c r="L50" s="1697"/>
    </row>
    <row r="51" spans="1:12" s="1271" customFormat="1" ht="17.100000000000001" customHeight="1" x14ac:dyDescent="0.25">
      <c r="A51" s="1709" t="str">
        <f>A42</f>
        <v>SINAPI –</v>
      </c>
      <c r="B51" s="1710" t="str">
        <f>B42</f>
        <v>00003989</v>
      </c>
      <c r="C51" s="1711" t="s">
        <v>434</v>
      </c>
      <c r="D51" s="1712" t="str">
        <f>D42</f>
        <v>Madeira serrada aparelhada de maçaranduba, angelim ou equivalente da região</v>
      </c>
      <c r="E51" s="1712"/>
      <c r="F51" s="1713" t="s">
        <v>690</v>
      </c>
      <c r="G51" s="1714">
        <f>ROUND((H42*750)/1000,5)</f>
        <v>3.0843799999999999</v>
      </c>
      <c r="H51" s="1245" t="s">
        <v>497</v>
      </c>
      <c r="I51" s="1246">
        <f>'[1]Composições - Transportes'!B8</f>
        <v>5914404</v>
      </c>
      <c r="J51" s="1246">
        <f>'[1]Composições - Transportes'!B9</f>
        <v>5914419</v>
      </c>
      <c r="K51" s="1246">
        <f>'[1]Composições - Transportes'!B10</f>
        <v>5914434</v>
      </c>
      <c r="L51" s="1715">
        <f>ROUND(G51*($I$50*I52+$J$50*J52+$K$50*K52),4)</f>
        <v>0</v>
      </c>
    </row>
    <row r="52" spans="1:12" s="1271" customFormat="1" ht="17.100000000000001" customHeight="1" x14ac:dyDescent="0.25">
      <c r="A52" s="1709"/>
      <c r="B52" s="1710"/>
      <c r="C52" s="1711"/>
      <c r="D52" s="1712"/>
      <c r="E52" s="1712"/>
      <c r="F52" s="1713"/>
      <c r="G52" s="1714"/>
      <c r="H52" s="1247" t="s">
        <v>498</v>
      </c>
      <c r="I52" s="1248">
        <f>'[1]Composições - Transportes'!S8</f>
        <v>1.1200000000000001</v>
      </c>
      <c r="J52" s="1248">
        <f>'[1]Composições - Transportes'!S9</f>
        <v>0.89</v>
      </c>
      <c r="K52" s="1248">
        <f>'[1]Composições - Transportes'!S10</f>
        <v>0.71</v>
      </c>
      <c r="L52" s="1715"/>
    </row>
    <row r="53" spans="1:12" s="1271" customFormat="1" ht="17.100000000000001" customHeight="1" x14ac:dyDescent="0.25">
      <c r="A53" s="1767" t="str">
        <f>A43</f>
        <v>SINAPI –</v>
      </c>
      <c r="B53" s="1768" t="str">
        <f>B43</f>
        <v>00004343</v>
      </c>
      <c r="C53" s="1769" t="s">
        <v>434</v>
      </c>
      <c r="D53" s="1773" t="str">
        <f>D43</f>
        <v>Parafuso francês zincado, diâmetro 1/2", comprimento 4", com porca e arruela lisa média</v>
      </c>
      <c r="E53" s="1773"/>
      <c r="F53" s="1771" t="s">
        <v>690</v>
      </c>
      <c r="G53" s="1772">
        <f>ROUND(H43/1000,5)</f>
        <v>1.187E-2</v>
      </c>
      <c r="H53" s="1247" t="s">
        <v>497</v>
      </c>
      <c r="I53" s="1474">
        <f>'[1]Composições - Transportes'!B8</f>
        <v>5914404</v>
      </c>
      <c r="J53" s="1474">
        <f>'[1]Composições - Transportes'!B9</f>
        <v>5914419</v>
      </c>
      <c r="K53" s="1474">
        <f>'[1]Composições - Transportes'!B10</f>
        <v>5914434</v>
      </c>
      <c r="L53" s="1766">
        <f>ROUND(G53*($I$50*I54+$J$50*J54+$K$50*K54),4)</f>
        <v>0</v>
      </c>
    </row>
    <row r="54" spans="1:12" s="1271" customFormat="1" ht="17.100000000000001" customHeight="1" x14ac:dyDescent="0.25">
      <c r="A54" s="1767"/>
      <c r="B54" s="1768"/>
      <c r="C54" s="1769"/>
      <c r="D54" s="1773"/>
      <c r="E54" s="1773"/>
      <c r="F54" s="1771"/>
      <c r="G54" s="1772"/>
      <c r="H54" s="1247" t="s">
        <v>498</v>
      </c>
      <c r="I54" s="1248">
        <f>'[1]Composições - Transportes'!S8</f>
        <v>1.1200000000000001</v>
      </c>
      <c r="J54" s="1248">
        <f>'[1]Composições - Transportes'!S9</f>
        <v>0.89</v>
      </c>
      <c r="K54" s="1248">
        <f>'[1]Composições - Transportes'!S10</f>
        <v>0.71</v>
      </c>
      <c r="L54" s="1766"/>
    </row>
    <row r="55" spans="1:12" s="1271" customFormat="1" ht="15" customHeight="1" x14ac:dyDescent="0.25">
      <c r="A55" s="1767" t="str">
        <f>A44</f>
        <v>DNIT –</v>
      </c>
      <c r="B55" s="1768" t="str">
        <f>B44</f>
        <v>M1205</v>
      </c>
      <c r="C55" s="1769" t="s">
        <v>434</v>
      </c>
      <c r="D55" s="1770" t="str">
        <f>D44</f>
        <v>Pregos de ferro</v>
      </c>
      <c r="E55" s="1770"/>
      <c r="F55" s="1771" t="s">
        <v>690</v>
      </c>
      <c r="G55" s="1772">
        <f>ROUND(H44/1000,5)</f>
        <v>2.1199999999999999E-3</v>
      </c>
      <c r="H55" s="1247" t="s">
        <v>497</v>
      </c>
      <c r="I55" s="1474">
        <f>'[1]Composições - Transportes'!B8</f>
        <v>5914404</v>
      </c>
      <c r="J55" s="1474">
        <f>'[1]Composições - Transportes'!B9</f>
        <v>5914419</v>
      </c>
      <c r="K55" s="1474">
        <f>'[1]Composições - Transportes'!B10</f>
        <v>5914434</v>
      </c>
      <c r="L55" s="1766">
        <f>ROUND(G55*($I$50*I56+$J$50*J56+$K$50*K56),4)</f>
        <v>0</v>
      </c>
    </row>
    <row r="56" spans="1:12" s="1271" customFormat="1" ht="15" customHeight="1" x14ac:dyDescent="0.25">
      <c r="A56" s="1767"/>
      <c r="B56" s="1768"/>
      <c r="C56" s="1769"/>
      <c r="D56" s="1770"/>
      <c r="E56" s="1770"/>
      <c r="F56" s="1771"/>
      <c r="G56" s="1772"/>
      <c r="H56" s="1247" t="s">
        <v>498</v>
      </c>
      <c r="I56" s="1248">
        <f>'[1]Composições - Transportes'!S8</f>
        <v>1.1200000000000001</v>
      </c>
      <c r="J56" s="1248">
        <f>'[1]Composições - Transportes'!S9</f>
        <v>0.89</v>
      </c>
      <c r="K56" s="1248">
        <f>'[1]Composições - Transportes'!S10</f>
        <v>0.71</v>
      </c>
      <c r="L56" s="1766"/>
    </row>
    <row r="57" spans="1:12" s="1271" customFormat="1" ht="15" customHeight="1" x14ac:dyDescent="0.25">
      <c r="A57" s="1767"/>
      <c r="B57" s="1768"/>
      <c r="C57" s="1769"/>
      <c r="D57" s="1770"/>
      <c r="E57" s="1770"/>
      <c r="F57" s="1771"/>
      <c r="G57" s="1772"/>
      <c r="H57" s="1247"/>
      <c r="I57" s="1474"/>
      <c r="J57" s="1474"/>
      <c r="K57" s="1474"/>
      <c r="L57" s="1766">
        <f>ROUND(G57*($I$50*I58+$J$50*J58+$K$50*K58),4)</f>
        <v>0</v>
      </c>
    </row>
    <row r="58" spans="1:12" s="1271" customFormat="1" ht="15" customHeight="1" x14ac:dyDescent="0.25">
      <c r="A58" s="1767"/>
      <c r="B58" s="1768"/>
      <c r="C58" s="1769"/>
      <c r="D58" s="1770"/>
      <c r="E58" s="1770"/>
      <c r="F58" s="1771"/>
      <c r="G58" s="1772"/>
      <c r="H58" s="1247"/>
      <c r="I58" s="1248"/>
      <c r="J58" s="1248"/>
      <c r="K58" s="1248"/>
      <c r="L58" s="1766"/>
    </row>
    <row r="59" spans="1:12" s="1271" customFormat="1" ht="21.75" customHeight="1" x14ac:dyDescent="0.25">
      <c r="A59" s="1707" t="s">
        <v>499</v>
      </c>
      <c r="B59" s="1707"/>
      <c r="C59" s="1707"/>
      <c r="D59" s="1707"/>
      <c r="E59" s="1707"/>
      <c r="F59" s="1707"/>
      <c r="G59" s="1707"/>
      <c r="H59" s="1707"/>
      <c r="I59" s="1707"/>
      <c r="J59" s="1707"/>
      <c r="K59" s="1707"/>
      <c r="L59" s="1253">
        <f>ROUND(SUM(L51:L58),4)</f>
        <v>0</v>
      </c>
    </row>
    <row r="60" spans="1:12" s="1271" customFormat="1" ht="9.4499999999999993" customHeight="1" x14ac:dyDescent="0.25">
      <c r="A60" s="1254"/>
      <c r="B60" s="1254"/>
      <c r="C60" s="1254"/>
      <c r="D60" s="1254"/>
      <c r="E60" s="1254"/>
      <c r="F60" s="1254"/>
      <c r="G60" s="1241"/>
      <c r="H60" s="1255"/>
      <c r="I60" s="1255"/>
      <c r="J60" s="1256"/>
      <c r="K60" s="1257"/>
      <c r="L60" s="1348"/>
    </row>
    <row r="61" spans="1:12" s="1271" customFormat="1" ht="15" customHeight="1" x14ac:dyDescent="0.25">
      <c r="A61" s="1707" t="s">
        <v>448</v>
      </c>
      <c r="B61" s="1707"/>
      <c r="C61" s="1707"/>
      <c r="D61" s="1707"/>
      <c r="E61" s="1707"/>
      <c r="F61" s="1707"/>
      <c r="G61" s="1707"/>
      <c r="H61" s="1707"/>
      <c r="I61" s="1707"/>
      <c r="J61" s="1707"/>
      <c r="K61" s="1707"/>
      <c r="L61" s="1253">
        <f>ROUND(L38+L46+L59,4)</f>
        <v>7081.3333000000002</v>
      </c>
    </row>
    <row r="62" spans="1:12" s="1271" customFormat="1" ht="15" customHeight="1" x14ac:dyDescent="0.25">
      <c r="A62" s="1716" t="s">
        <v>449</v>
      </c>
      <c r="B62" s="1716"/>
      <c r="C62" s="1716"/>
      <c r="D62" s="1716"/>
      <c r="E62" s="1716"/>
      <c r="F62" s="1716"/>
      <c r="G62" s="1716"/>
      <c r="H62" s="1716"/>
      <c r="I62" s="1716"/>
      <c r="J62" s="1716"/>
      <c r="K62" s="1259">
        <f>[1]LDI!I34</f>
        <v>0.25569999999999998</v>
      </c>
      <c r="L62" s="1298">
        <f>ROUND(L61*K62,4)</f>
        <v>1810.6968999999999</v>
      </c>
    </row>
    <row r="63" spans="1:12" s="1271" customFormat="1" ht="20.100000000000001" customHeight="1" x14ac:dyDescent="0.25">
      <c r="A63" s="1704" t="s">
        <v>450</v>
      </c>
      <c r="B63" s="1704"/>
      <c r="C63" s="1704"/>
      <c r="D63" s="1704"/>
      <c r="E63" s="1704"/>
      <c r="F63" s="1704"/>
      <c r="G63" s="1704"/>
      <c r="H63" s="1704"/>
      <c r="I63" s="1704"/>
      <c r="J63" s="1704"/>
      <c r="K63" s="1704"/>
      <c r="L63" s="1260">
        <f>ROUND(L61+L62,2)</f>
        <v>8892.0300000000007</v>
      </c>
    </row>
    <row r="64" spans="1:12" s="1271" customFormat="1" ht="3" customHeight="1" x14ac:dyDescent="0.25">
      <c r="A64" s="1261"/>
      <c r="B64" s="1261"/>
      <c r="C64" s="1261"/>
      <c r="D64" s="1261"/>
      <c r="E64" s="1261"/>
      <c r="F64" s="1261"/>
      <c r="G64" s="1261"/>
      <c r="H64" s="1261"/>
      <c r="I64" s="1261"/>
      <c r="J64" s="1261"/>
      <c r="K64" s="1261"/>
      <c r="L64" s="1261"/>
    </row>
    <row r="65" spans="1:12" s="1271" customFormat="1" ht="21.9" customHeight="1" x14ac:dyDescent="0.25">
      <c r="A65" s="1262" t="s">
        <v>451</v>
      </c>
      <c r="B65" s="1263"/>
      <c r="C65" s="1717" t="s">
        <v>693</v>
      </c>
      <c r="D65" s="1717"/>
      <c r="E65" s="1717"/>
      <c r="F65" s="1717"/>
      <c r="G65" s="1717"/>
      <c r="H65" s="1717"/>
      <c r="I65" s="1717"/>
      <c r="J65" s="1717"/>
      <c r="K65" s="1717"/>
      <c r="L65" s="1717"/>
    </row>
    <row r="66" spans="1:12" s="1271" customFormat="1" ht="21.9" customHeight="1" x14ac:dyDescent="0.25">
      <c r="A66" s="1264"/>
      <c r="B66" s="1265"/>
      <c r="C66" s="1708" t="s">
        <v>694</v>
      </c>
      <c r="D66" s="1708"/>
      <c r="E66" s="1708"/>
      <c r="F66" s="1708"/>
      <c r="G66" s="1708"/>
      <c r="H66" s="1708"/>
      <c r="I66" s="1708"/>
      <c r="J66" s="1708"/>
      <c r="K66" s="1708"/>
      <c r="L66" s="1708"/>
    </row>
    <row r="67" spans="1:12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75">
    <mergeCell ref="C66:L66"/>
    <mergeCell ref="L57:L58"/>
    <mergeCell ref="A59:K59"/>
    <mergeCell ref="A61:K61"/>
    <mergeCell ref="A62:J62"/>
    <mergeCell ref="A63:K63"/>
    <mergeCell ref="C65:L65"/>
    <mergeCell ref="A57:A58"/>
    <mergeCell ref="B57:B58"/>
    <mergeCell ref="C57:C58"/>
    <mergeCell ref="D57:E58"/>
    <mergeCell ref="F57:F58"/>
    <mergeCell ref="G57:G58"/>
    <mergeCell ref="L53:L54"/>
    <mergeCell ref="A55:A56"/>
    <mergeCell ref="B55:B56"/>
    <mergeCell ref="C55:C56"/>
    <mergeCell ref="D55:E56"/>
    <mergeCell ref="F55:F56"/>
    <mergeCell ref="G55:G56"/>
    <mergeCell ref="L55:L56"/>
    <mergeCell ref="A53:A54"/>
    <mergeCell ref="B53:B54"/>
    <mergeCell ref="C53:C54"/>
    <mergeCell ref="D53:E54"/>
    <mergeCell ref="F53:F54"/>
    <mergeCell ref="G53:G54"/>
    <mergeCell ref="L48:L50"/>
    <mergeCell ref="A51:A52"/>
    <mergeCell ref="B51:B52"/>
    <mergeCell ref="C51:C52"/>
    <mergeCell ref="D51:E52"/>
    <mergeCell ref="F51:F52"/>
    <mergeCell ref="G51:G52"/>
    <mergeCell ref="L51:L52"/>
    <mergeCell ref="H44:I44"/>
    <mergeCell ref="H45:I45"/>
    <mergeCell ref="A46:K46"/>
    <mergeCell ref="A48:F50"/>
    <mergeCell ref="G48:G50"/>
    <mergeCell ref="H48:K48"/>
    <mergeCell ref="A40:G41"/>
    <mergeCell ref="H40:I41"/>
    <mergeCell ref="J40:J41"/>
    <mergeCell ref="H42:I42"/>
    <mergeCell ref="D43:E43"/>
    <mergeCell ref="H43:I43"/>
    <mergeCell ref="D27:I27"/>
    <mergeCell ref="D28:I28"/>
    <mergeCell ref="D29:I29"/>
    <mergeCell ref="A31:K31"/>
    <mergeCell ref="A38:H38"/>
    <mergeCell ref="I38:K38"/>
    <mergeCell ref="D19:F19"/>
    <mergeCell ref="D20:F20"/>
    <mergeCell ref="D21:F21"/>
    <mergeCell ref="A23:K23"/>
    <mergeCell ref="A25:I26"/>
    <mergeCell ref="J25:J26"/>
    <mergeCell ref="K25:K26"/>
    <mergeCell ref="A17:F18"/>
    <mergeCell ref="G17:G18"/>
    <mergeCell ref="H17:I17"/>
    <mergeCell ref="J17:K17"/>
    <mergeCell ref="A1:L1"/>
    <mergeCell ref="A2:L2"/>
    <mergeCell ref="A3:K3"/>
    <mergeCell ref="A4:K4"/>
    <mergeCell ref="A5:K5"/>
    <mergeCell ref="L5:L6"/>
    <mergeCell ref="A8:L8"/>
    <mergeCell ref="A9:D9"/>
    <mergeCell ref="E9:L9"/>
    <mergeCell ref="A12:L13"/>
    <mergeCell ref="E15:J15"/>
  </mergeCells>
  <dataValidations count="1">
    <dataValidation allowBlank="1" showInputMessage="1" showErrorMessage="1" prompt="Clique duas vezes sobre o número do item para ser direcionado à Planilha Orçamentária." sqref="D15" xr:uid="{00000000-0002-0000-20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7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N65536"/>
  <sheetViews>
    <sheetView view="pageBreakPreview" zoomScale="90" zoomScaleNormal="80" zoomScaleSheetLayoutView="9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'7.2'!A3:K3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'7.2'!A4:K4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695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737" t="str">
        <f>'[1]Planilha orçamentária'!E9</f>
        <v>Construção / Recuperação e complementação de estradas vicinais</v>
      </c>
      <c r="F10" s="1737"/>
      <c r="G10" s="1737"/>
      <c r="H10" s="1737"/>
      <c r="I10" s="1737"/>
      <c r="J10" s="1737"/>
      <c r="K10" s="1737"/>
      <c r="L10" s="1737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188" t="str">
        <f>'[1]Planilha orçamentária'!B146</f>
        <v>8.1</v>
      </c>
      <c r="E16" s="1695" t="s">
        <v>696</v>
      </c>
      <c r="F16" s="1695"/>
      <c r="G16" s="1695"/>
      <c r="H16" s="1695"/>
      <c r="I16" s="1695"/>
      <c r="J16" s="1695"/>
      <c r="K16" s="1189" t="s">
        <v>417</v>
      </c>
      <c r="L16" s="1190" t="s">
        <v>551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37.200000000000003" customHeight="1" x14ac:dyDescent="0.25">
      <c r="A20" s="1195" t="str">
        <f>'[1]Composições - Equipamentos'!A22</f>
        <v>DNIT –</v>
      </c>
      <c r="B20" s="1196" t="str">
        <f>'[1]Composições - Equipamentos'!B22</f>
        <v>E9515</v>
      </c>
      <c r="C20" s="1197" t="s">
        <v>434</v>
      </c>
      <c r="D20" s="1774" t="str">
        <f>'[1]Composições - Equipamentos'!C22</f>
        <v>Escavadeira hidráulica sobre esteira com caçamba com capacidade de 1,50 m³ - 110 kW (323 DL-Caterpillar)</v>
      </c>
      <c r="E20" s="1774"/>
      <c r="F20" s="1774"/>
      <c r="G20" s="1199">
        <v>1</v>
      </c>
      <c r="H20" s="1200">
        <v>1</v>
      </c>
      <c r="I20" s="1201">
        <v>0</v>
      </c>
      <c r="J20" s="1289">
        <f>'[1]Composições - Equipamentos'!S22</f>
        <v>210.93819999999999</v>
      </c>
      <c r="K20" s="1289">
        <f>'[1]Composições - Equipamentos'!T22</f>
        <v>93.686000000000007</v>
      </c>
      <c r="L20" s="1289">
        <f t="shared" ref="L20:L22" si="0">ROUND((G20*H20*J20)+(G20*I20*K20),4)</f>
        <v>210.93819999999999</v>
      </c>
    </row>
    <row r="21" spans="1:14" s="1271" customFormat="1" ht="14.1" customHeight="1" x14ac:dyDescent="0.25">
      <c r="A21" s="1195"/>
      <c r="B21" s="1196"/>
      <c r="C21" s="1197"/>
      <c r="D21" s="1699"/>
      <c r="E21" s="1699"/>
      <c r="F21" s="1699"/>
      <c r="G21" s="1199"/>
      <c r="H21" s="1200"/>
      <c r="I21" s="1201"/>
      <c r="J21" s="1289"/>
      <c r="K21" s="1289"/>
      <c r="L21" s="1289">
        <f t="shared" si="0"/>
        <v>0</v>
      </c>
    </row>
    <row r="22" spans="1:14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200"/>
      <c r="I22" s="1201"/>
      <c r="J22" s="1301"/>
      <c r="K22" s="1300"/>
      <c r="L22" s="1289">
        <f t="shared" si="0"/>
        <v>0</v>
      </c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210.93819999999999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195" t="str">
        <f>'[1]Atualização de custos unitarios'!A84</f>
        <v>DNIT –</v>
      </c>
      <c r="B27" s="1273" t="str">
        <f>'[1]Atualização de custos unitarios'!B84</f>
        <v>P9824</v>
      </c>
      <c r="C27" s="1197" t="s">
        <v>434</v>
      </c>
      <c r="D27" s="1699" t="str">
        <f>'[1]Atualização de custos unitarios'!C84</f>
        <v>Servente</v>
      </c>
      <c r="E27" s="1699"/>
      <c r="F27" s="1699"/>
      <c r="G27" s="1699"/>
      <c r="H27" s="1699"/>
      <c r="I27" s="1699"/>
      <c r="J27" s="1213">
        <v>1</v>
      </c>
      <c r="K27" s="1302">
        <f>'1.1'!G100</f>
        <v>14.981199999999999</v>
      </c>
      <c r="L27" s="1215">
        <f t="shared" ref="L27:L29" si="1">ROUND(J27*K27,4)</f>
        <v>14.981199999999999</v>
      </c>
      <c r="N27" s="1274"/>
    </row>
    <row r="28" spans="1:14" s="1271" customFormat="1" ht="9.4499999999999993" customHeight="1" x14ac:dyDescent="0.25">
      <c r="A28" s="1195"/>
      <c r="B28" s="1196"/>
      <c r="C28" s="1197"/>
      <c r="D28" s="1204"/>
      <c r="E28" s="1204"/>
      <c r="F28" s="1204"/>
      <c r="G28" s="1204"/>
      <c r="H28" s="1204"/>
      <c r="I28" s="1198"/>
      <c r="J28" s="1213"/>
      <c r="K28" s="1302"/>
      <c r="L28" s="1215">
        <f t="shared" si="1"/>
        <v>0</v>
      </c>
      <c r="N28" s="1274"/>
    </row>
    <row r="29" spans="1:14" s="1271" customFormat="1" ht="14.1" customHeight="1" x14ac:dyDescent="0.25">
      <c r="A29" s="1216"/>
      <c r="B29" s="1217"/>
      <c r="C29" s="1217"/>
      <c r="D29" s="1217"/>
      <c r="E29" s="1217"/>
      <c r="F29" s="1217"/>
      <c r="G29" s="1173"/>
      <c r="H29" s="1193"/>
      <c r="I29" s="1218"/>
      <c r="J29" s="1219"/>
      <c r="K29" s="1302"/>
      <c r="L29" s="1215">
        <f t="shared" si="1"/>
        <v>0</v>
      </c>
    </row>
    <row r="30" spans="1:14" s="1271" customFormat="1" ht="14.1" customHeight="1" x14ac:dyDescent="0.25">
      <c r="A30" s="1702" t="s">
        <v>478</v>
      </c>
      <c r="B30" s="1702"/>
      <c r="C30" s="1702"/>
      <c r="D30" s="1702"/>
      <c r="E30" s="1702"/>
      <c r="F30" s="1702"/>
      <c r="G30" s="1702"/>
      <c r="H30" s="1702"/>
      <c r="I30" s="1702"/>
      <c r="J30" s="1702"/>
      <c r="K30" s="1702"/>
      <c r="L30" s="1208">
        <f>ROUND(SUM(L27:L29),4)</f>
        <v>14.981199999999999</v>
      </c>
    </row>
    <row r="31" spans="1:14" s="1272" customFormat="1" ht="3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10"/>
      <c r="L31" s="1229"/>
    </row>
    <row r="32" spans="1:14" s="1272" customFormat="1" ht="14.1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20" t="s">
        <v>479</v>
      </c>
      <c r="L32" s="1294">
        <f>L23+L30</f>
        <v>225.9194</v>
      </c>
    </row>
    <row r="33" spans="1:13" s="1272" customFormat="1" ht="14.1" customHeight="1" x14ac:dyDescent="0.25">
      <c r="A33" s="1222" t="s">
        <v>480</v>
      </c>
      <c r="B33" s="1209"/>
      <c r="C33" s="1209"/>
      <c r="D33" s="1209"/>
      <c r="E33" s="1209"/>
      <c r="F33" s="1475">
        <v>221.33</v>
      </c>
      <c r="G33" s="1224" t="str">
        <f>L16</f>
        <v>m³</v>
      </c>
      <c r="H33" s="1222"/>
      <c r="I33" s="1209"/>
      <c r="J33" s="1225"/>
      <c r="K33" s="1226" t="s">
        <v>481</v>
      </c>
      <c r="L33" s="1292">
        <f>ROUND(L32/F33,4)</f>
        <v>1.0206999999999999</v>
      </c>
    </row>
    <row r="34" spans="1:13" s="1272" customFormat="1" ht="14.1" customHeight="1" x14ac:dyDescent="0.25">
      <c r="A34" s="1222"/>
      <c r="B34" s="1209" t="s">
        <v>482</v>
      </c>
      <c r="C34" s="1209"/>
      <c r="D34" s="1209"/>
      <c r="E34" s="1209"/>
      <c r="F34" s="1223">
        <f>ROUND([1]FIC!$F$11*[1]FIC!$H$21*[1]FIC!$H$34*[1]FIC!$L$6,5)</f>
        <v>4.8980000000000003E-2</v>
      </c>
      <c r="G34" s="1224"/>
      <c r="H34" s="1222"/>
      <c r="I34" s="1209"/>
      <c r="J34" s="1225"/>
      <c r="K34" s="1220" t="s">
        <v>483</v>
      </c>
      <c r="L34" s="1292">
        <f>ROUND(L33*F34,4)</f>
        <v>0.05</v>
      </c>
      <c r="M34" s="1277"/>
    </row>
    <row r="35" spans="1:13" s="1272" customFormat="1" ht="14.1" customHeight="1" x14ac:dyDescent="0.25">
      <c r="A35" s="1222"/>
      <c r="B35" s="1209" t="s">
        <v>484</v>
      </c>
      <c r="C35" s="1209"/>
      <c r="D35" s="1209"/>
      <c r="E35" s="1209"/>
      <c r="F35" s="1227"/>
      <c r="G35" s="1224"/>
      <c r="H35" s="1225"/>
      <c r="I35" s="1228"/>
      <c r="J35" s="1210"/>
      <c r="K35" s="1220" t="s">
        <v>485</v>
      </c>
      <c r="L35" s="1292">
        <f>ROUND(L33*F35,4)</f>
        <v>0</v>
      </c>
      <c r="M35" s="1277"/>
    </row>
    <row r="36" spans="1:13" s="1272" customFormat="1" ht="3" customHeight="1" x14ac:dyDescent="0.25">
      <c r="A36" s="1209"/>
      <c r="B36" s="1209"/>
      <c r="C36" s="1209"/>
      <c r="D36" s="1209"/>
      <c r="E36" s="1209"/>
      <c r="F36" s="1209"/>
      <c r="G36" s="1209"/>
      <c r="H36" s="1209"/>
      <c r="I36" s="1209"/>
      <c r="J36" s="1210"/>
      <c r="K36" s="1210"/>
      <c r="L36" s="1295"/>
    </row>
    <row r="37" spans="1:13" s="1271" customFormat="1" ht="14.1" customHeight="1" x14ac:dyDescent="0.25">
      <c r="A37" s="1696" t="s">
        <v>486</v>
      </c>
      <c r="B37" s="1696"/>
      <c r="C37" s="1696"/>
      <c r="D37" s="1696"/>
      <c r="E37" s="1696"/>
      <c r="F37" s="1696"/>
      <c r="G37" s="1696"/>
      <c r="H37" s="1696"/>
      <c r="I37" s="1704" t="s">
        <v>487</v>
      </c>
      <c r="J37" s="1704"/>
      <c r="K37" s="1704"/>
      <c r="L37" s="1298">
        <f>ROUND(SUM(L33:L36),4)</f>
        <v>1.0707</v>
      </c>
      <c r="M37" s="1476"/>
    </row>
    <row r="38" spans="1:13" s="1272" customFormat="1" ht="3" customHeight="1" x14ac:dyDescent="0.25">
      <c r="A38" s="710"/>
      <c r="B38" s="710"/>
      <c r="C38" s="710"/>
      <c r="D38" s="710"/>
      <c r="E38" s="710"/>
      <c r="F38" s="710"/>
      <c r="G38" s="1231"/>
      <c r="H38" s="1231"/>
      <c r="I38" s="1232"/>
      <c r="J38" s="1232"/>
      <c r="K38" s="1232"/>
      <c r="L38" s="710"/>
    </row>
    <row r="39" spans="1:13" s="1271" customFormat="1" ht="14.1" customHeight="1" x14ac:dyDescent="0.25">
      <c r="A39" s="1696" t="s">
        <v>488</v>
      </c>
      <c r="B39" s="1696"/>
      <c r="C39" s="1696"/>
      <c r="D39" s="1696"/>
      <c r="E39" s="1696"/>
      <c r="F39" s="1696"/>
      <c r="G39" s="1696"/>
      <c r="H39" s="1697" t="s">
        <v>164</v>
      </c>
      <c r="I39" s="1697"/>
      <c r="J39" s="1697" t="s">
        <v>163</v>
      </c>
      <c r="K39" s="1192" t="s">
        <v>489</v>
      </c>
      <c r="L39" s="1192" t="s">
        <v>472</v>
      </c>
    </row>
    <row r="40" spans="1:13" s="1271" customFormat="1" ht="14.1" customHeight="1" x14ac:dyDescent="0.25">
      <c r="A40" s="1696"/>
      <c r="B40" s="1696"/>
      <c r="C40" s="1696"/>
      <c r="D40" s="1696"/>
      <c r="E40" s="1696"/>
      <c r="F40" s="1696"/>
      <c r="G40" s="1696"/>
      <c r="H40" s="1697"/>
      <c r="I40" s="1697"/>
      <c r="J40" s="1697"/>
      <c r="K40" s="1233" t="s">
        <v>490</v>
      </c>
      <c r="L40" s="1194" t="s">
        <v>490</v>
      </c>
    </row>
    <row r="41" spans="1:13" s="1271" customFormat="1" ht="14.1" customHeight="1" x14ac:dyDescent="0.25">
      <c r="A41" s="1477"/>
      <c r="B41" s="1185"/>
      <c r="C41" s="1197"/>
      <c r="D41" s="1722"/>
      <c r="E41" s="1722"/>
      <c r="F41" s="1722"/>
      <c r="G41" s="1722"/>
      <c r="H41" s="1727"/>
      <c r="I41" s="1727"/>
      <c r="J41" s="1237"/>
      <c r="K41" s="1302"/>
      <c r="L41" s="1202">
        <f t="shared" ref="L41:L42" si="2">ROUND(K41*H41,4)</f>
        <v>0</v>
      </c>
    </row>
    <row r="42" spans="1:13" s="1271" customFormat="1" ht="14.1" customHeight="1" x14ac:dyDescent="0.25">
      <c r="A42" s="1239"/>
      <c r="B42" s="1197"/>
      <c r="C42" s="1197"/>
      <c r="D42" s="1217"/>
      <c r="E42" s="1217"/>
      <c r="F42" s="1217"/>
      <c r="G42" s="1240"/>
      <c r="H42" s="1706"/>
      <c r="I42" s="1706"/>
      <c r="J42" s="1237"/>
      <c r="K42" s="1302"/>
      <c r="L42" s="1202">
        <f t="shared" si="2"/>
        <v>0</v>
      </c>
    </row>
    <row r="43" spans="1:13" s="1271" customFormat="1" ht="14.1" customHeight="1" x14ac:dyDescent="0.25">
      <c r="A43" s="1707" t="s">
        <v>491</v>
      </c>
      <c r="B43" s="1707"/>
      <c r="C43" s="1707"/>
      <c r="D43" s="1707"/>
      <c r="E43" s="1707"/>
      <c r="F43" s="1707"/>
      <c r="G43" s="1707"/>
      <c r="H43" s="1707"/>
      <c r="I43" s="1707"/>
      <c r="J43" s="1707"/>
      <c r="K43" s="1707"/>
      <c r="L43" s="1230">
        <f>ROUND(SUM(L41:L42),4)</f>
        <v>0</v>
      </c>
    </row>
    <row r="44" spans="1:13" s="1272" customFormat="1" ht="3" customHeight="1" x14ac:dyDescent="0.25">
      <c r="A44" s="1241"/>
      <c r="B44" s="1241"/>
      <c r="C44" s="1241"/>
      <c r="D44" s="1241"/>
      <c r="E44" s="1241"/>
      <c r="F44" s="1241"/>
      <c r="G44" s="1241"/>
      <c r="H44" s="1241"/>
      <c r="I44" s="1241"/>
      <c r="J44" s="710"/>
      <c r="K44" s="1242"/>
      <c r="L44" s="1243"/>
    </row>
    <row r="45" spans="1:13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3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3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3" s="1271" customFormat="1" ht="14.1" customHeight="1" x14ac:dyDescent="0.25">
      <c r="A48" s="1709"/>
      <c r="B48" s="1710"/>
      <c r="C48" s="1711"/>
      <c r="D48" s="1712"/>
      <c r="E48" s="1712"/>
      <c r="F48" s="1713"/>
      <c r="G48" s="1714">
        <f>ROUND(H41/1000,5)</f>
        <v>0</v>
      </c>
      <c r="H48" s="1245" t="s">
        <v>497</v>
      </c>
      <c r="I48" s="1246"/>
      <c r="J48" s="1246"/>
      <c r="K48" s="1246"/>
      <c r="L48" s="1715">
        <f>ROUND(G48*($I$47*I49+$J$47*J49+$K$47*K49),4)</f>
        <v>0</v>
      </c>
    </row>
    <row r="49" spans="1:12" s="1271" customFormat="1" ht="14.1" customHeight="1" x14ac:dyDescent="0.25">
      <c r="A49" s="1709"/>
      <c r="B49" s="1710"/>
      <c r="C49" s="1711"/>
      <c r="D49" s="1712"/>
      <c r="E49" s="1712"/>
      <c r="F49" s="1713"/>
      <c r="G49" s="1714"/>
      <c r="H49" s="1247" t="s">
        <v>498</v>
      </c>
      <c r="I49" s="1248"/>
      <c r="J49" s="1248"/>
      <c r="K49" s="1248"/>
      <c r="L49" s="1715"/>
    </row>
    <row r="50" spans="1:12" s="1271" customFormat="1" ht="14.1" customHeight="1" x14ac:dyDescent="0.25">
      <c r="A50" s="1195"/>
      <c r="B50" s="1284"/>
      <c r="C50" s="1197"/>
      <c r="D50" s="1285"/>
      <c r="E50" s="1285"/>
      <c r="F50" s="1286"/>
      <c r="G50" s="1199"/>
      <c r="H50" s="1287"/>
      <c r="I50" s="1288"/>
      <c r="J50" s="1201"/>
      <c r="K50" s="1200"/>
      <c r="L50" s="1289"/>
    </row>
    <row r="51" spans="1:12" s="1271" customFormat="1" ht="14.1" customHeight="1" x14ac:dyDescent="0.25">
      <c r="A51" s="1239"/>
      <c r="B51" s="1197"/>
      <c r="C51" s="1197"/>
      <c r="D51" s="1217"/>
      <c r="E51" s="1217"/>
      <c r="F51" s="1217"/>
      <c r="G51" s="1205"/>
      <c r="H51" s="1250"/>
      <c r="I51" s="1250"/>
      <c r="J51" s="1251"/>
      <c r="K51" s="1252"/>
      <c r="L51" s="1202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34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ROUND(L37+L43+L52,4)</f>
        <v>1.0707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0.27379999999999999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1.34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1.9" customHeight="1" x14ac:dyDescent="0.25">
      <c r="A58" s="1262" t="s">
        <v>451</v>
      </c>
      <c r="B58" s="1263"/>
      <c r="C58" s="1775" t="s">
        <v>697</v>
      </c>
      <c r="D58" s="1775"/>
      <c r="E58" s="1775"/>
      <c r="F58" s="1775"/>
      <c r="G58" s="1775"/>
      <c r="H58" s="1775"/>
      <c r="I58" s="1775"/>
      <c r="J58" s="1775"/>
      <c r="K58" s="1775"/>
      <c r="L58" s="1775"/>
    </row>
    <row r="59" spans="1:12" s="1271" customFormat="1" ht="21.75" customHeight="1" x14ac:dyDescent="0.25">
      <c r="A59" s="1264"/>
      <c r="B59" s="1265"/>
      <c r="C59" s="1723" t="s">
        <v>507</v>
      </c>
      <c r="D59" s="1723"/>
      <c r="E59" s="1723"/>
      <c r="F59" s="1723"/>
      <c r="G59" s="1723"/>
      <c r="H59" s="1723"/>
      <c r="I59" s="1723"/>
      <c r="J59" s="1723"/>
      <c r="K59" s="1723"/>
      <c r="L59" s="1723"/>
    </row>
    <row r="60" spans="1:12" s="1271" customFormat="1" ht="20.25" customHeight="1" x14ac:dyDescent="0.25">
      <c r="A60" s="1264"/>
      <c r="B60" s="1265"/>
      <c r="C60" s="1265"/>
      <c r="D60" s="1265"/>
      <c r="E60" s="1265"/>
      <c r="F60" s="1265"/>
      <c r="G60" s="1265"/>
      <c r="H60" s="1265"/>
      <c r="I60" s="1265"/>
      <c r="J60" s="1265"/>
      <c r="K60" s="1265"/>
      <c r="L60" s="1266"/>
    </row>
    <row r="61" spans="1:12" s="1271" customFormat="1" ht="15" customHeight="1" x14ac:dyDescent="0.25">
      <c r="A61" s="1267"/>
      <c r="B61" s="1268"/>
      <c r="C61" s="1268"/>
      <c r="D61" s="1268"/>
      <c r="E61" s="1268"/>
      <c r="F61" s="1268"/>
      <c r="G61" s="1268"/>
      <c r="H61" s="1268"/>
      <c r="I61" s="1268"/>
      <c r="J61" s="1268"/>
      <c r="K61" s="1268"/>
      <c r="L61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9">
    <mergeCell ref="C59:L59"/>
    <mergeCell ref="L45:L47"/>
    <mergeCell ref="A48:A49"/>
    <mergeCell ref="B48:B49"/>
    <mergeCell ref="C48:C49"/>
    <mergeCell ref="D48:E49"/>
    <mergeCell ref="F48:F49"/>
    <mergeCell ref="G48:G49"/>
    <mergeCell ref="L48:L49"/>
    <mergeCell ref="A52:K52"/>
    <mergeCell ref="A54:K54"/>
    <mergeCell ref="A55:J55"/>
    <mergeCell ref="A56:K56"/>
    <mergeCell ref="C58:L58"/>
    <mergeCell ref="D41:G41"/>
    <mergeCell ref="H41:I41"/>
    <mergeCell ref="H42:I42"/>
    <mergeCell ref="A43:K43"/>
    <mergeCell ref="A45:F47"/>
    <mergeCell ref="G45:G47"/>
    <mergeCell ref="H45:K45"/>
    <mergeCell ref="D27:I27"/>
    <mergeCell ref="A30:K30"/>
    <mergeCell ref="A37:H37"/>
    <mergeCell ref="I37:K37"/>
    <mergeCell ref="A39:G40"/>
    <mergeCell ref="H39:I40"/>
    <mergeCell ref="J39:J40"/>
    <mergeCell ref="D20:F20"/>
    <mergeCell ref="D21:F21"/>
    <mergeCell ref="A23:K23"/>
    <mergeCell ref="A25:I26"/>
    <mergeCell ref="J25:J26"/>
    <mergeCell ref="K25:K26"/>
    <mergeCell ref="A18:F19"/>
    <mergeCell ref="G18:G19"/>
    <mergeCell ref="H18:I18"/>
    <mergeCell ref="J18:K18"/>
    <mergeCell ref="A1:L1"/>
    <mergeCell ref="A2:L2"/>
    <mergeCell ref="A3:K3"/>
    <mergeCell ref="A4:K4"/>
    <mergeCell ref="A5:K5"/>
    <mergeCell ref="L5:L6"/>
    <mergeCell ref="A8:L8"/>
    <mergeCell ref="A10:D10"/>
    <mergeCell ref="E10:L10"/>
    <mergeCell ref="A13:L14"/>
    <mergeCell ref="E16:J16"/>
  </mergeCells>
  <dataValidations count="1">
    <dataValidation allowBlank="1" showInputMessage="1" showErrorMessage="1" prompt="Clique duas vezes sobre o número do item para ser direcionado à Planilha Orçamentária." sqref="D16" xr:uid="{00000000-0002-0000-21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N65536"/>
  <sheetViews>
    <sheetView view="pageBreakPreview" topLeftCell="A42" zoomScale="80" zoomScaleNormal="80" zoomScaleSheetLayoutView="8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'8.1'!A3:K3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'8.1'!A4:K4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698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737" t="str">
        <f>'[1]Planilha orçamentária'!E9</f>
        <v>Construção / Recuperação e complementação de estradas vicinais</v>
      </c>
      <c r="F10" s="1737"/>
      <c r="G10" s="1737"/>
      <c r="H10" s="1737"/>
      <c r="I10" s="1737"/>
      <c r="J10" s="1737"/>
      <c r="K10" s="1737"/>
      <c r="L10" s="1737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471" t="str">
        <f>'[1]Planilha orçamentária'!B147</f>
        <v>8.2</v>
      </c>
      <c r="E16" s="1721" t="s">
        <v>314</v>
      </c>
      <c r="F16" s="1721"/>
      <c r="G16" s="1721"/>
      <c r="H16" s="1721"/>
      <c r="I16" s="1721"/>
      <c r="J16" s="1721"/>
      <c r="K16" s="1189" t="s">
        <v>417</v>
      </c>
      <c r="L16" s="1190" t="s">
        <v>699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24.9" customHeight="1" x14ac:dyDescent="0.25">
      <c r="A20" s="1195" t="str">
        <f>'[1]Composições - Equipamentos'!A45</f>
        <v>DNIT –</v>
      </c>
      <c r="B20" s="1196" t="str">
        <f>'[1]Composições - Equipamentos'!B45</f>
        <v>E9579</v>
      </c>
      <c r="C20" s="1197" t="s">
        <v>434</v>
      </c>
      <c r="D20" s="1719" t="str">
        <f>'[1]Composições - Equipamentos'!C45</f>
        <v>Caminhão basculante com capacidade de 10 m³ - 188 kW (Atron 2729  - Mercedes-Benz)</v>
      </c>
      <c r="E20" s="1719"/>
      <c r="F20" s="1719"/>
      <c r="G20" s="1199">
        <v>1</v>
      </c>
      <c r="H20" s="1200">
        <v>1</v>
      </c>
      <c r="I20" s="1201">
        <v>0</v>
      </c>
      <c r="J20" s="1202">
        <f>'[1]Composições - Equipamentos'!S45</f>
        <v>192.23320000000001</v>
      </c>
      <c r="K20" s="1202">
        <f>'[1]Composições - Equipamentos'!T45</f>
        <v>54.2408</v>
      </c>
      <c r="L20" s="1202">
        <f t="shared" ref="L20:L22" si="0">ROUND((G20*H20*J20)+(G20*I20*K20),4)</f>
        <v>192.23320000000001</v>
      </c>
    </row>
    <row r="21" spans="1:14" s="1271" customFormat="1" ht="14.1" customHeight="1" x14ac:dyDescent="0.25">
      <c r="A21" s="1203"/>
      <c r="B21" s="1204"/>
      <c r="C21" s="1197"/>
      <c r="D21" s="1204"/>
      <c r="E21" s="1204"/>
      <c r="F21" s="1204"/>
      <c r="G21" s="1199"/>
      <c r="H21" s="1200"/>
      <c r="I21" s="1201"/>
      <c r="J21" s="1202"/>
      <c r="K21" s="1207"/>
      <c r="L21" s="1202">
        <f t="shared" si="0"/>
        <v>0</v>
      </c>
    </row>
    <row r="22" spans="1:14" s="1271" customFormat="1" ht="14.1" customHeight="1" x14ac:dyDescent="0.25">
      <c r="A22" s="1203"/>
      <c r="B22" s="1204"/>
      <c r="C22" s="1197"/>
      <c r="D22" s="1204"/>
      <c r="E22" s="1204"/>
      <c r="F22" s="1204"/>
      <c r="G22" s="1205"/>
      <c r="H22" s="1200"/>
      <c r="I22" s="1201"/>
      <c r="J22" s="1206"/>
      <c r="K22" s="1207"/>
      <c r="L22" s="1202">
        <f t="shared" si="0"/>
        <v>0</v>
      </c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192.23320000000001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239"/>
      <c r="B27" s="1197"/>
      <c r="C27" s="1197"/>
      <c r="D27" s="1204"/>
      <c r="E27" s="1204"/>
      <c r="F27" s="1204"/>
      <c r="G27" s="710"/>
      <c r="H27" s="1197"/>
      <c r="I27" s="1275"/>
      <c r="J27" s="1213"/>
      <c r="K27" s="1478"/>
      <c r="L27" s="1215">
        <f t="shared" ref="L27:L28" si="1">ROUND(J27*K27,4)</f>
        <v>0</v>
      </c>
      <c r="N27" s="1274"/>
    </row>
    <row r="28" spans="1:14" s="1271" customFormat="1" ht="9.4499999999999993" customHeight="1" x14ac:dyDescent="0.25">
      <c r="A28" s="1479"/>
      <c r="B28" s="1217"/>
      <c r="C28" s="1217"/>
      <c r="D28" s="1217"/>
      <c r="E28" s="1217"/>
      <c r="F28" s="1217"/>
      <c r="G28" s="1173"/>
      <c r="H28" s="1193"/>
      <c r="I28" s="1218"/>
      <c r="J28" s="1219"/>
      <c r="K28" s="1214"/>
      <c r="L28" s="1215">
        <f t="shared" si="1"/>
        <v>0</v>
      </c>
    </row>
    <row r="29" spans="1:14" s="1271" customFormat="1" ht="14.1" customHeight="1" x14ac:dyDescent="0.25">
      <c r="A29" s="1702" t="s">
        <v>478</v>
      </c>
      <c r="B29" s="1702"/>
      <c r="C29" s="1702"/>
      <c r="D29" s="1702"/>
      <c r="E29" s="1702"/>
      <c r="F29" s="1702"/>
      <c r="G29" s="1702"/>
      <c r="H29" s="1702"/>
      <c r="I29" s="1702"/>
      <c r="J29" s="1702"/>
      <c r="K29" s="1702"/>
      <c r="L29" s="1208">
        <f>ROUND(SUM(L27:L28),4)</f>
        <v>0</v>
      </c>
    </row>
    <row r="30" spans="1:14" s="1272" customFormat="1" ht="3" customHeight="1" x14ac:dyDescent="0.25">
      <c r="A30" s="1209"/>
      <c r="B30" s="1209"/>
      <c r="C30" s="1209"/>
      <c r="D30" s="1209"/>
      <c r="E30" s="1209"/>
      <c r="F30" s="1209"/>
      <c r="G30" s="1209"/>
      <c r="H30" s="1209"/>
      <c r="I30" s="1209"/>
      <c r="J30" s="1210"/>
      <c r="K30" s="1210"/>
      <c r="L30" s="1210"/>
    </row>
    <row r="31" spans="1:14" s="1272" customFormat="1" ht="14.1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20" t="s">
        <v>479</v>
      </c>
      <c r="L31" s="1221">
        <f>L23+L29</f>
        <v>192.23320000000001</v>
      </c>
    </row>
    <row r="32" spans="1:14" s="1272" customFormat="1" ht="14.1" customHeight="1" x14ac:dyDescent="0.25">
      <c r="A32" s="1222" t="s">
        <v>480</v>
      </c>
      <c r="B32" s="1209"/>
      <c r="C32" s="1209"/>
      <c r="D32" s="1209"/>
      <c r="E32" s="1209"/>
      <c r="F32" s="1223">
        <v>249</v>
      </c>
      <c r="G32" s="1276" t="str">
        <f>L16</f>
        <v>t x km</v>
      </c>
      <c r="H32" s="1222"/>
      <c r="I32" s="1209"/>
      <c r="J32" s="1225"/>
      <c r="K32" s="1226" t="s">
        <v>481</v>
      </c>
      <c r="L32" s="1292">
        <f>ROUND(L31/F32,4)</f>
        <v>0.77200000000000002</v>
      </c>
    </row>
    <row r="33" spans="1:13" s="1272" customFormat="1" ht="14.1" customHeight="1" x14ac:dyDescent="0.25">
      <c r="A33" s="1222"/>
      <c r="B33" s="1209" t="s">
        <v>482</v>
      </c>
      <c r="C33" s="1209"/>
      <c r="D33" s="1209"/>
      <c r="E33" s="1209"/>
      <c r="F33" s="1223">
        <f>ROUND([1]FIC!$F$11*[1]FIC!$H$21*[1]FIC!$H$34*[1]FIC!$L$6,5)</f>
        <v>4.8980000000000003E-2</v>
      </c>
      <c r="G33" s="1224"/>
      <c r="H33" s="1222"/>
      <c r="I33" s="1209"/>
      <c r="J33" s="1225"/>
      <c r="K33" s="1220" t="s">
        <v>483</v>
      </c>
      <c r="L33" s="1292">
        <f>ROUND(L32*F33,4)</f>
        <v>3.78E-2</v>
      </c>
    </row>
    <row r="34" spans="1:13" s="1272" customFormat="1" ht="14.1" customHeight="1" x14ac:dyDescent="0.25">
      <c r="A34" s="1222"/>
      <c r="B34" s="1209" t="s">
        <v>484</v>
      </c>
      <c r="C34" s="1209"/>
      <c r="D34" s="1209"/>
      <c r="E34" s="1209"/>
      <c r="F34" s="1227"/>
      <c r="G34" s="1224"/>
      <c r="H34" s="1225"/>
      <c r="I34" s="1228"/>
      <c r="J34" s="1210"/>
      <c r="K34" s="1220" t="s">
        <v>485</v>
      </c>
      <c r="L34" s="1292">
        <f>ROUND(L32*F34,4)</f>
        <v>0</v>
      </c>
      <c r="M34" s="1277"/>
    </row>
    <row r="35" spans="1:13" s="1272" customFormat="1" ht="3" customHeight="1" x14ac:dyDescent="0.25">
      <c r="A35" s="1209"/>
      <c r="B35" s="1209"/>
      <c r="C35" s="1209"/>
      <c r="D35" s="1209"/>
      <c r="E35" s="1209"/>
      <c r="F35" s="1209"/>
      <c r="G35" s="1209"/>
      <c r="H35" s="1209"/>
      <c r="I35" s="1209"/>
      <c r="J35" s="1210"/>
      <c r="K35" s="1210"/>
      <c r="L35" s="1229"/>
    </row>
    <row r="36" spans="1:13" s="1271" customFormat="1" ht="14.1" customHeight="1" x14ac:dyDescent="0.25">
      <c r="A36" s="1696" t="s">
        <v>486</v>
      </c>
      <c r="B36" s="1696"/>
      <c r="C36" s="1696"/>
      <c r="D36" s="1696"/>
      <c r="E36" s="1696"/>
      <c r="F36" s="1696"/>
      <c r="G36" s="1696"/>
      <c r="H36" s="1696"/>
      <c r="I36" s="1704" t="s">
        <v>487</v>
      </c>
      <c r="J36" s="1704"/>
      <c r="K36" s="1704"/>
      <c r="L36" s="1230">
        <f>ROUND(SUM(L32:L35),4)</f>
        <v>0.80979999999999996</v>
      </c>
    </row>
    <row r="37" spans="1:13" s="1272" customFormat="1" ht="3" customHeight="1" x14ac:dyDescent="0.25">
      <c r="A37" s="710"/>
      <c r="B37" s="710"/>
      <c r="C37" s="710"/>
      <c r="D37" s="710"/>
      <c r="E37" s="710"/>
      <c r="F37" s="710"/>
      <c r="G37" s="1231"/>
      <c r="H37" s="1231"/>
      <c r="I37" s="1232"/>
      <c r="J37" s="1232"/>
      <c r="K37" s="1232"/>
      <c r="L37" s="710"/>
    </row>
    <row r="38" spans="1:13" s="1271" customFormat="1" ht="14.1" customHeight="1" x14ac:dyDescent="0.25">
      <c r="A38" s="1696" t="s">
        <v>488</v>
      </c>
      <c r="B38" s="1696"/>
      <c r="C38" s="1696"/>
      <c r="D38" s="1696"/>
      <c r="E38" s="1696"/>
      <c r="F38" s="1696"/>
      <c r="G38" s="1696"/>
      <c r="H38" s="1697" t="s">
        <v>164</v>
      </c>
      <c r="I38" s="1697"/>
      <c r="J38" s="1697" t="s">
        <v>163</v>
      </c>
      <c r="K38" s="1192" t="s">
        <v>489</v>
      </c>
      <c r="L38" s="1192" t="s">
        <v>472</v>
      </c>
    </row>
    <row r="39" spans="1:13" s="1271" customFormat="1" ht="14.1" customHeight="1" x14ac:dyDescent="0.25">
      <c r="A39" s="1696"/>
      <c r="B39" s="1696"/>
      <c r="C39" s="1696"/>
      <c r="D39" s="1696"/>
      <c r="E39" s="1696"/>
      <c r="F39" s="1696"/>
      <c r="G39" s="1696"/>
      <c r="H39" s="1697"/>
      <c r="I39" s="1697"/>
      <c r="J39" s="1697"/>
      <c r="K39" s="1233" t="s">
        <v>490</v>
      </c>
      <c r="L39" s="1194" t="s">
        <v>490</v>
      </c>
    </row>
    <row r="40" spans="1:13" s="1271" customFormat="1" ht="14.1" customHeight="1" x14ac:dyDescent="0.25">
      <c r="A40" s="1234"/>
      <c r="B40" s="1204"/>
      <c r="C40" s="1197"/>
      <c r="D40" s="1204"/>
      <c r="E40" s="1204"/>
      <c r="F40" s="1204"/>
      <c r="G40" s="1235"/>
      <c r="H40" s="1705"/>
      <c r="I40" s="1705"/>
      <c r="J40" s="1237"/>
      <c r="K40" s="1214"/>
      <c r="L40" s="1202">
        <f t="shared" ref="L40:L41" si="2">ROUND(K40*H40,4)</f>
        <v>0</v>
      </c>
    </row>
    <row r="41" spans="1:13" s="1271" customFormat="1" ht="14.1" customHeight="1" x14ac:dyDescent="0.25">
      <c r="A41" s="1239"/>
      <c r="B41" s="1197"/>
      <c r="C41" s="1197"/>
      <c r="D41" s="1217"/>
      <c r="E41" s="1217"/>
      <c r="F41" s="1217"/>
      <c r="G41" s="1240"/>
      <c r="H41" s="1706"/>
      <c r="I41" s="1706"/>
      <c r="J41" s="1237"/>
      <c r="K41" s="1214"/>
      <c r="L41" s="1202">
        <f t="shared" si="2"/>
        <v>0</v>
      </c>
    </row>
    <row r="42" spans="1:13" s="1271" customFormat="1" ht="14.1" customHeight="1" x14ac:dyDescent="0.25">
      <c r="A42" s="1707" t="s">
        <v>491</v>
      </c>
      <c r="B42" s="1707"/>
      <c r="C42" s="1707"/>
      <c r="D42" s="1707"/>
      <c r="E42" s="1707"/>
      <c r="F42" s="1707"/>
      <c r="G42" s="1707"/>
      <c r="H42" s="1707"/>
      <c r="I42" s="1707"/>
      <c r="J42" s="1707"/>
      <c r="K42" s="1707"/>
      <c r="L42" s="1230">
        <f>ROUND(SUM(L40:L41),4)</f>
        <v>0</v>
      </c>
    </row>
    <row r="43" spans="1:13" s="1272" customFormat="1" ht="3" customHeight="1" x14ac:dyDescent="0.25">
      <c r="A43" s="1241"/>
      <c r="B43" s="1241"/>
      <c r="C43" s="1241"/>
      <c r="D43" s="1241"/>
      <c r="E43" s="1241"/>
      <c r="F43" s="1241"/>
      <c r="G43" s="1241"/>
      <c r="H43" s="1241"/>
      <c r="I43" s="1241"/>
      <c r="J43" s="710"/>
      <c r="K43" s="1242"/>
      <c r="L43" s="1243"/>
    </row>
    <row r="44" spans="1:13" s="1271" customFormat="1" ht="14.1" customHeight="1" x14ac:dyDescent="0.25">
      <c r="A44" s="1696" t="s">
        <v>492</v>
      </c>
      <c r="B44" s="1696"/>
      <c r="C44" s="1696"/>
      <c r="D44" s="1696"/>
      <c r="E44" s="1696"/>
      <c r="F44" s="1696"/>
      <c r="G44" s="1703" t="s">
        <v>493</v>
      </c>
      <c r="H44" s="1697" t="s">
        <v>494</v>
      </c>
      <c r="I44" s="1697"/>
      <c r="J44" s="1697"/>
      <c r="K44" s="1697"/>
      <c r="L44" s="1697" t="s">
        <v>495</v>
      </c>
    </row>
    <row r="45" spans="1:13" s="1271" customFormat="1" ht="9.4499999999999993" customHeight="1" x14ac:dyDescent="0.25">
      <c r="A45" s="1696"/>
      <c r="B45" s="1696"/>
      <c r="C45" s="1696"/>
      <c r="D45" s="1696"/>
      <c r="E45" s="1696"/>
      <c r="F45" s="1696"/>
      <c r="G45" s="1703"/>
      <c r="H45" s="1211" t="s">
        <v>110</v>
      </c>
      <c r="I45" s="1218" t="s">
        <v>302</v>
      </c>
      <c r="J45" s="1194" t="s">
        <v>305</v>
      </c>
      <c r="K45" s="1233" t="s">
        <v>307</v>
      </c>
      <c r="L45" s="1697"/>
    </row>
    <row r="46" spans="1:13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191" t="s">
        <v>496</v>
      </c>
      <c r="I46" s="1244"/>
      <c r="J46" s="1244"/>
      <c r="K46" s="1244"/>
      <c r="L46" s="1697"/>
    </row>
    <row r="47" spans="1:13" s="1271" customFormat="1" ht="14.1" customHeight="1" x14ac:dyDescent="0.25">
      <c r="A47" s="1709"/>
      <c r="B47" s="1710"/>
      <c r="C47" s="1711"/>
      <c r="D47" s="1712"/>
      <c r="E47" s="1712"/>
      <c r="F47" s="1713"/>
      <c r="G47" s="1714">
        <f>ROUND(H40/1000,5)</f>
        <v>0</v>
      </c>
      <c r="H47" s="1245" t="s">
        <v>497</v>
      </c>
      <c r="I47" s="1246"/>
      <c r="J47" s="1246"/>
      <c r="K47" s="1246"/>
      <c r="L47" s="1715">
        <f>ROUND(G47*($I$46*I48+$J$46*J48+$K$46*K48),4)</f>
        <v>0</v>
      </c>
    </row>
    <row r="48" spans="1:13" s="1271" customFormat="1" ht="14.1" customHeight="1" x14ac:dyDescent="0.25">
      <c r="A48" s="1709"/>
      <c r="B48" s="1710"/>
      <c r="C48" s="1711"/>
      <c r="D48" s="1712"/>
      <c r="E48" s="1712"/>
      <c r="F48" s="1713"/>
      <c r="G48" s="1714"/>
      <c r="H48" s="1247" t="s">
        <v>498</v>
      </c>
      <c r="I48" s="1248"/>
      <c r="J48" s="1248"/>
      <c r="K48" s="1248"/>
      <c r="L48" s="1715"/>
    </row>
    <row r="49" spans="1:12" s="1271" customFormat="1" ht="14.1" customHeight="1" x14ac:dyDescent="0.25">
      <c r="A49" s="1195"/>
      <c r="B49" s="1284"/>
      <c r="C49" s="1197"/>
      <c r="D49" s="1285"/>
      <c r="E49" s="1285"/>
      <c r="F49" s="1286"/>
      <c r="G49" s="1199"/>
      <c r="H49" s="1287"/>
      <c r="I49" s="1288"/>
      <c r="J49" s="1201"/>
      <c r="K49" s="1200"/>
      <c r="L49" s="1289"/>
    </row>
    <row r="50" spans="1:12" s="1271" customFormat="1" ht="14.1" customHeight="1" x14ac:dyDescent="0.25">
      <c r="A50" s="1239"/>
      <c r="B50" s="1197"/>
      <c r="C50" s="1197"/>
      <c r="D50" s="1217"/>
      <c r="E50" s="1217"/>
      <c r="F50" s="1217"/>
      <c r="G50" s="1249"/>
      <c r="H50" s="1250"/>
      <c r="I50" s="1250"/>
      <c r="J50" s="1251"/>
      <c r="K50" s="1252"/>
      <c r="L50" s="1202"/>
    </row>
    <row r="51" spans="1:12" s="1271" customFormat="1" ht="14.1" customHeight="1" x14ac:dyDescent="0.25">
      <c r="A51" s="1707" t="s">
        <v>499</v>
      </c>
      <c r="B51" s="1707"/>
      <c r="C51" s="1707"/>
      <c r="D51" s="1707"/>
      <c r="E51" s="1707"/>
      <c r="F51" s="1707"/>
      <c r="G51" s="1707"/>
      <c r="H51" s="1707"/>
      <c r="I51" s="1707"/>
      <c r="J51" s="1707"/>
      <c r="K51" s="1707"/>
      <c r="L51" s="1253">
        <f>ROUND(SUM(L47:L50),4)</f>
        <v>0</v>
      </c>
    </row>
    <row r="52" spans="1:12" s="1271" customFormat="1" ht="3" customHeight="1" x14ac:dyDescent="0.25">
      <c r="A52" s="1254"/>
      <c r="B52" s="1254"/>
      <c r="C52" s="1254"/>
      <c r="D52" s="1254"/>
      <c r="E52" s="1254"/>
      <c r="F52" s="1254"/>
      <c r="G52" s="1241"/>
      <c r="H52" s="1255"/>
      <c r="I52" s="1255"/>
      <c r="J52" s="1256"/>
      <c r="K52" s="1257"/>
      <c r="L52" s="1258"/>
    </row>
    <row r="53" spans="1:12" s="1271" customFormat="1" ht="15" customHeight="1" x14ac:dyDescent="0.25">
      <c r="A53" s="1707" t="s">
        <v>448</v>
      </c>
      <c r="B53" s="1707"/>
      <c r="C53" s="1707"/>
      <c r="D53" s="1707"/>
      <c r="E53" s="1707"/>
      <c r="F53" s="1707"/>
      <c r="G53" s="1707"/>
      <c r="H53" s="1707"/>
      <c r="I53" s="1707"/>
      <c r="J53" s="1707"/>
      <c r="K53" s="1707"/>
      <c r="L53" s="1253">
        <f>ROUND(L36+L42+L51,4)</f>
        <v>0.80979999999999996</v>
      </c>
    </row>
    <row r="54" spans="1:12" s="1271" customFormat="1" ht="15" customHeight="1" x14ac:dyDescent="0.25">
      <c r="A54" s="1716" t="s">
        <v>449</v>
      </c>
      <c r="B54" s="1716"/>
      <c r="C54" s="1716"/>
      <c r="D54" s="1716"/>
      <c r="E54" s="1716"/>
      <c r="F54" s="1716"/>
      <c r="G54" s="1716"/>
      <c r="H54" s="1716"/>
      <c r="I54" s="1716"/>
      <c r="J54" s="1716"/>
      <c r="K54" s="1259">
        <f>[1]LDI!I34</f>
        <v>0.25569999999999998</v>
      </c>
      <c r="L54" s="1253">
        <f>ROUND(L53*K54,4)</f>
        <v>0.20710000000000001</v>
      </c>
    </row>
    <row r="55" spans="1:12" s="1271" customFormat="1" ht="20.100000000000001" customHeight="1" x14ac:dyDescent="0.25">
      <c r="A55" s="1704" t="s">
        <v>450</v>
      </c>
      <c r="B55" s="1704"/>
      <c r="C55" s="1704"/>
      <c r="D55" s="1704"/>
      <c r="E55" s="1704"/>
      <c r="F55" s="1704"/>
      <c r="G55" s="1704"/>
      <c r="H55" s="1704"/>
      <c r="I55" s="1704"/>
      <c r="J55" s="1704"/>
      <c r="K55" s="1704"/>
      <c r="L55" s="1260">
        <f>ROUND(L53+L54,2)</f>
        <v>1.02</v>
      </c>
    </row>
    <row r="56" spans="1:12" s="1271" customFormat="1" ht="3" customHeight="1" x14ac:dyDescent="0.25">
      <c r="A56" s="1261"/>
      <c r="B56" s="1261"/>
      <c r="C56" s="1261"/>
      <c r="D56" s="1261"/>
      <c r="E56" s="1261"/>
      <c r="F56" s="1261"/>
      <c r="G56" s="1261"/>
      <c r="H56" s="1261"/>
      <c r="I56" s="1261"/>
      <c r="J56" s="1261"/>
      <c r="K56" s="1261"/>
      <c r="L56" s="1261"/>
    </row>
    <row r="57" spans="1:12" s="1271" customFormat="1" ht="21.9" customHeight="1" x14ac:dyDescent="0.25">
      <c r="A57" s="1262" t="s">
        <v>451</v>
      </c>
      <c r="B57" s="1263"/>
      <c r="C57" s="1717" t="s">
        <v>700</v>
      </c>
      <c r="D57" s="1717"/>
      <c r="E57" s="1717"/>
      <c r="F57" s="1717"/>
      <c r="G57" s="1717"/>
      <c r="H57" s="1717"/>
      <c r="I57" s="1717"/>
      <c r="J57" s="1717"/>
      <c r="K57" s="1717"/>
      <c r="L57" s="1717"/>
    </row>
    <row r="58" spans="1:12" s="1271" customFormat="1" ht="15" customHeight="1" x14ac:dyDescent="0.25">
      <c r="A58" s="1264"/>
      <c r="B58" s="1265"/>
      <c r="C58" s="1701" t="s">
        <v>507</v>
      </c>
      <c r="D58" s="1701"/>
      <c r="E58" s="1701"/>
      <c r="F58" s="1701"/>
      <c r="G58" s="1701"/>
      <c r="H58" s="1701"/>
      <c r="I58" s="1701"/>
      <c r="J58" s="1701"/>
      <c r="K58" s="1701"/>
      <c r="L58" s="1701"/>
    </row>
    <row r="59" spans="1:12" s="1271" customFormat="1" ht="21.75" customHeight="1" x14ac:dyDescent="0.25">
      <c r="A59" s="1267"/>
      <c r="B59" s="1268"/>
      <c r="C59" s="1268"/>
      <c r="D59" s="1268"/>
      <c r="E59" s="1268"/>
      <c r="F59" s="1268"/>
      <c r="G59" s="1268"/>
      <c r="H59" s="1268"/>
      <c r="I59" s="1268"/>
      <c r="J59" s="1268"/>
      <c r="K59" s="1268"/>
      <c r="L59" s="1269"/>
    </row>
    <row r="60" spans="1:12" ht="20.25" customHeight="1" x14ac:dyDescent="0.2"/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6">
    <mergeCell ref="C58:L58"/>
    <mergeCell ref="L47:L48"/>
    <mergeCell ref="A51:K51"/>
    <mergeCell ref="A53:K53"/>
    <mergeCell ref="A54:J54"/>
    <mergeCell ref="A55:K55"/>
    <mergeCell ref="C57:L57"/>
    <mergeCell ref="A47:A48"/>
    <mergeCell ref="B47:B48"/>
    <mergeCell ref="C47:C48"/>
    <mergeCell ref="D47:E48"/>
    <mergeCell ref="F47:F48"/>
    <mergeCell ref="G47:G48"/>
    <mergeCell ref="L44:L46"/>
    <mergeCell ref="A36:H36"/>
    <mergeCell ref="I36:K36"/>
    <mergeCell ref="A38:G39"/>
    <mergeCell ref="H38:I39"/>
    <mergeCell ref="J38:J39"/>
    <mergeCell ref="H40:I40"/>
    <mergeCell ref="H41:I41"/>
    <mergeCell ref="A42:K42"/>
    <mergeCell ref="A44:F46"/>
    <mergeCell ref="G44:G46"/>
    <mergeCell ref="H44:K44"/>
    <mergeCell ref="A29:K29"/>
    <mergeCell ref="A8:L8"/>
    <mergeCell ref="A10:D10"/>
    <mergeCell ref="E10:L10"/>
    <mergeCell ref="A13:L14"/>
    <mergeCell ref="E16:J16"/>
    <mergeCell ref="A18:F19"/>
    <mergeCell ref="G18:G19"/>
    <mergeCell ref="H18:I18"/>
    <mergeCell ref="J18:K18"/>
    <mergeCell ref="D20:F20"/>
    <mergeCell ref="A23:K23"/>
    <mergeCell ref="A25:I26"/>
    <mergeCell ref="J25:J26"/>
    <mergeCell ref="K25:K26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22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'8.2'!A3:K3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'8.2'!A4:K4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216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270" t="s">
        <v>216</v>
      </c>
      <c r="E15" s="1718" t="s">
        <v>701</v>
      </c>
      <c r="F15" s="1718"/>
      <c r="G15" s="1718"/>
      <c r="H15" s="1718"/>
      <c r="I15" s="1718"/>
      <c r="J15" s="1718"/>
      <c r="K15" s="1189" t="s">
        <v>417</v>
      </c>
      <c r="L15" s="1190" t="s">
        <v>551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24" customHeight="1" x14ac:dyDescent="0.25">
      <c r="A19" s="1195" t="str">
        <f>'[1]Composições - Equipamentos'!A39</f>
        <v>DNIT –</v>
      </c>
      <c r="B19" s="1196" t="str">
        <f>'[1]Composições - Equipamentos'!B39</f>
        <v>E9571</v>
      </c>
      <c r="C19" s="1197" t="s">
        <v>434</v>
      </c>
      <c r="D19" s="1719" t="str">
        <f>'[1]Composições - Equipamentos'!C39</f>
        <v>Caminhão tanque com capacidade de 10.000 l - 188 kW (Atego 2426 - Mercedes-Benz)</v>
      </c>
      <c r="E19" s="1719"/>
      <c r="F19" s="1719"/>
      <c r="G19" s="1199">
        <v>2</v>
      </c>
      <c r="H19" s="1200">
        <v>0.7</v>
      </c>
      <c r="I19" s="1201">
        <v>0.3</v>
      </c>
      <c r="J19" s="1202">
        <f>'[1]Composições - Equipamentos'!S39</f>
        <v>204.17570000000001</v>
      </c>
      <c r="K19" s="1202">
        <f>'[1]Composições - Equipamentos'!T39</f>
        <v>60.8142</v>
      </c>
      <c r="L19" s="1202">
        <f t="shared" ref="L19:L25" si="0">ROUND((G19*H19*J19)+(G19*I19*K19),4)</f>
        <v>322.33449999999999</v>
      </c>
    </row>
    <row r="20" spans="1:14" s="1271" customFormat="1" ht="24.9" customHeight="1" x14ac:dyDescent="0.25">
      <c r="A20" s="1195" t="str">
        <f>'[1]Composições - Equipamentos'!A24</f>
        <v>DNIT –</v>
      </c>
      <c r="B20" s="1196" t="str">
        <f>'[1]Composições - Equipamentos'!B24</f>
        <v>E9518</v>
      </c>
      <c r="C20" s="1197" t="s">
        <v>434</v>
      </c>
      <c r="D20" s="1701" t="str">
        <f>'[1]Composições - Equipamentos'!C24</f>
        <v>Grade de 24 discos rebocável de 24" (GAM 24 x 24" - Marchesan)</v>
      </c>
      <c r="E20" s="1701"/>
      <c r="F20" s="1701"/>
      <c r="G20" s="1199">
        <v>1</v>
      </c>
      <c r="H20" s="1200">
        <v>0.71</v>
      </c>
      <c r="I20" s="1201">
        <v>0.28999999999999998</v>
      </c>
      <c r="J20" s="1202">
        <f>'[1]Composições - Equipamentos'!S24</f>
        <v>2.8195000000000001</v>
      </c>
      <c r="K20" s="1202">
        <f>'[1]Composições - Equipamentos'!T24</f>
        <v>1.9599</v>
      </c>
      <c r="L20" s="1202">
        <f t="shared" si="0"/>
        <v>2.5701999999999998</v>
      </c>
    </row>
    <row r="21" spans="1:14" s="1271" customFormat="1" ht="14.1" customHeight="1" x14ac:dyDescent="0.25">
      <c r="A21" s="1195" t="str">
        <f>'[1]Composições - Equipamentos'!A27</f>
        <v>DNIT –</v>
      </c>
      <c r="B21" s="1196" t="str">
        <f>'[1]Composições - Equipamentos'!B27</f>
        <v>E9524</v>
      </c>
      <c r="C21" s="1197" t="s">
        <v>434</v>
      </c>
      <c r="D21" s="1701" t="str">
        <f>'[1]Composições - Equipamentos'!C27</f>
        <v>Motoniveladora - 93 kW (120K - Caterpillar)</v>
      </c>
      <c r="E21" s="1701"/>
      <c r="F21" s="1701"/>
      <c r="G21" s="1199">
        <v>1</v>
      </c>
      <c r="H21" s="1200">
        <v>0.41</v>
      </c>
      <c r="I21" s="1201">
        <v>0.59</v>
      </c>
      <c r="J21" s="1202">
        <f>'[1]Composições - Equipamentos'!S27</f>
        <v>184.2696</v>
      </c>
      <c r="K21" s="1202">
        <f>'[1]Composições - Equipamentos'!T27</f>
        <v>79.578100000000006</v>
      </c>
      <c r="L21" s="1202">
        <f t="shared" si="0"/>
        <v>122.5016</v>
      </c>
    </row>
    <row r="22" spans="1:14" s="1271" customFormat="1" ht="24.9" customHeight="1" x14ac:dyDescent="0.25">
      <c r="A22" s="1195" t="str">
        <f>'[1]Composições - Equipamentos'!A61</f>
        <v>DNIT –</v>
      </c>
      <c r="B22" s="1273" t="str">
        <f>'[1]Composições - Equipamentos'!B61</f>
        <v>E9685</v>
      </c>
      <c r="C22" s="1197" t="s">
        <v>434</v>
      </c>
      <c r="D22" s="1720" t="str">
        <f>'[1]Composições - Equipamentos'!C61</f>
        <v>Rolo compactador pé de carneiro vibratório autopropelido de 11,6 t - 82 kW (CA 250 D - Dynapac)</v>
      </c>
      <c r="E22" s="1720"/>
      <c r="F22" s="1720"/>
      <c r="G22" s="1199">
        <v>1</v>
      </c>
      <c r="H22" s="1200">
        <v>1</v>
      </c>
      <c r="I22" s="1201">
        <v>0</v>
      </c>
      <c r="J22" s="1202">
        <f>'[1]Composições - Equipamentos'!S61</f>
        <v>150.01669999999999</v>
      </c>
      <c r="K22" s="1202">
        <f>'[1]Composições - Equipamentos'!T61</f>
        <v>68.910399999999996</v>
      </c>
      <c r="L22" s="1202">
        <f t="shared" si="0"/>
        <v>150.01669999999999</v>
      </c>
    </row>
    <row r="23" spans="1:14" s="1271" customFormat="1" ht="14.1" customHeight="1" x14ac:dyDescent="0.25">
      <c r="A23" s="1195" t="str">
        <f>'[1]Composições - Equipamentos'!A44</f>
        <v>DNIT –</v>
      </c>
      <c r="B23" s="1196" t="str">
        <f>'[1]Composições - Equipamentos'!B44</f>
        <v>E9577</v>
      </c>
      <c r="C23" s="1197" t="s">
        <v>434</v>
      </c>
      <c r="D23" s="1701" t="str">
        <f>'[1]Composições - Equipamentos'!C44</f>
        <v>Trator agrícola - 77 kW (MF 4292 - Massey Ferguson)</v>
      </c>
      <c r="E23" s="1701"/>
      <c r="F23" s="1701"/>
      <c r="G23" s="1199">
        <v>1</v>
      </c>
      <c r="H23" s="1200">
        <v>0.71</v>
      </c>
      <c r="I23" s="1201">
        <v>0.28999999999999998</v>
      </c>
      <c r="J23" s="1202">
        <f>'[1]Composições - Equipamentos'!S44</f>
        <v>89.639600000000002</v>
      </c>
      <c r="K23" s="1202">
        <f>'[1]Composições - Equipamentos'!T44</f>
        <v>34.623800000000003</v>
      </c>
      <c r="L23" s="1202">
        <f t="shared" si="0"/>
        <v>73.685000000000002</v>
      </c>
    </row>
    <row r="24" spans="1:14" s="1271" customFormat="1" ht="14.1" customHeight="1" x14ac:dyDescent="0.25">
      <c r="A24" s="1203"/>
      <c r="B24" s="1204"/>
      <c r="C24" s="1197"/>
      <c r="D24" s="1204"/>
      <c r="E24" s="1204"/>
      <c r="F24" s="1204"/>
      <c r="G24" s="1199"/>
      <c r="H24" s="1200"/>
      <c r="I24" s="1201"/>
      <c r="J24" s="1202"/>
      <c r="K24" s="1207"/>
      <c r="L24" s="1202">
        <f t="shared" si="0"/>
        <v>0</v>
      </c>
    </row>
    <row r="25" spans="1:14" s="1271" customFormat="1" ht="14.1" customHeight="1" x14ac:dyDescent="0.25">
      <c r="A25" s="1203"/>
      <c r="B25" s="1204"/>
      <c r="C25" s="1197"/>
      <c r="D25" s="1204"/>
      <c r="E25" s="1204"/>
      <c r="F25" s="1204"/>
      <c r="G25" s="1205"/>
      <c r="H25" s="1200"/>
      <c r="I25" s="1201"/>
      <c r="J25" s="1206"/>
      <c r="K25" s="1207"/>
      <c r="L25" s="1202">
        <f t="shared" si="0"/>
        <v>0</v>
      </c>
    </row>
    <row r="26" spans="1:14" s="1271" customFormat="1" ht="14.1" customHeight="1" x14ac:dyDescent="0.25">
      <c r="A26" s="1702" t="s">
        <v>476</v>
      </c>
      <c r="B26" s="1702"/>
      <c r="C26" s="1702"/>
      <c r="D26" s="1702"/>
      <c r="E26" s="1702"/>
      <c r="F26" s="1702"/>
      <c r="G26" s="1702"/>
      <c r="H26" s="1702"/>
      <c r="I26" s="1702"/>
      <c r="J26" s="1702"/>
      <c r="K26" s="1702"/>
      <c r="L26" s="1208">
        <f>ROUND(SUM(L19:L25),4)</f>
        <v>671.10799999999995</v>
      </c>
    </row>
    <row r="27" spans="1:14" s="1271" customFormat="1" ht="3" customHeight="1" x14ac:dyDescent="0.25">
      <c r="A27" s="1209"/>
      <c r="B27" s="1209"/>
      <c r="C27" s="1209"/>
      <c r="D27" s="1209"/>
      <c r="E27" s="1209"/>
      <c r="F27" s="1209"/>
      <c r="G27" s="1209"/>
      <c r="H27" s="1210"/>
      <c r="I27" s="1210"/>
      <c r="J27" s="1210"/>
      <c r="K27" s="1210"/>
      <c r="L27" s="1210"/>
    </row>
    <row r="28" spans="1:14" s="1271" customFormat="1" ht="9.4499999999999993" customHeight="1" x14ac:dyDescent="0.25">
      <c r="A28" s="1696" t="s">
        <v>439</v>
      </c>
      <c r="B28" s="1696"/>
      <c r="C28" s="1696"/>
      <c r="D28" s="1696"/>
      <c r="E28" s="1696"/>
      <c r="F28" s="1696"/>
      <c r="G28" s="1696"/>
      <c r="H28" s="1696"/>
      <c r="I28" s="1696"/>
      <c r="J28" s="1697" t="s">
        <v>164</v>
      </c>
      <c r="K28" s="1703" t="s">
        <v>477</v>
      </c>
      <c r="L28" s="1192" t="s">
        <v>441</v>
      </c>
    </row>
    <row r="29" spans="1:14" s="1271" customFormat="1" ht="14.1" customHeight="1" x14ac:dyDescent="0.25">
      <c r="A29" s="1696"/>
      <c r="B29" s="1696"/>
      <c r="C29" s="1696"/>
      <c r="D29" s="1696"/>
      <c r="E29" s="1696"/>
      <c r="F29" s="1696"/>
      <c r="G29" s="1696"/>
      <c r="H29" s="1696"/>
      <c r="I29" s="1696"/>
      <c r="J29" s="1697"/>
      <c r="K29" s="1703"/>
      <c r="L29" s="1194" t="s">
        <v>475</v>
      </c>
    </row>
    <row r="30" spans="1:14" s="1271" customFormat="1" ht="14.1" customHeight="1" x14ac:dyDescent="0.25">
      <c r="A30" s="1195" t="str">
        <f>'[1]Atualização de custos unitarios'!A84</f>
        <v>DNIT –</v>
      </c>
      <c r="B30" s="1212" t="str">
        <f>'[1]Atualização de custos unitarios'!B84</f>
        <v>P9824</v>
      </c>
      <c r="C30" s="1197" t="s">
        <v>434</v>
      </c>
      <c r="D30" s="1699" t="str">
        <f>'[1]Atualização de custos unitarios'!C84</f>
        <v>Servente</v>
      </c>
      <c r="E30" s="1699"/>
      <c r="F30" s="1699"/>
      <c r="G30" s="1699"/>
      <c r="H30" s="1699"/>
      <c r="I30" s="1699"/>
      <c r="J30" s="1213">
        <v>2</v>
      </c>
      <c r="K30" s="1214">
        <f>'1.1'!G100</f>
        <v>14.981199999999999</v>
      </c>
      <c r="L30" s="1215">
        <f t="shared" ref="L30:L32" si="1">ROUND(J30*K30,4)</f>
        <v>29.962399999999999</v>
      </c>
      <c r="N30" s="1274"/>
    </row>
    <row r="31" spans="1:14" s="1271" customFormat="1" ht="14.1" customHeight="1" x14ac:dyDescent="0.25">
      <c r="A31" s="1195"/>
      <c r="B31" s="1196"/>
      <c r="C31" s="1197"/>
      <c r="D31" s="1204"/>
      <c r="E31" s="1204"/>
      <c r="F31" s="1204"/>
      <c r="G31" s="1204"/>
      <c r="H31" s="1204"/>
      <c r="I31" s="1198"/>
      <c r="J31" s="1213"/>
      <c r="K31" s="1214"/>
      <c r="L31" s="1215">
        <f t="shared" si="1"/>
        <v>0</v>
      </c>
      <c r="N31" s="1274"/>
    </row>
    <row r="32" spans="1:14" s="1271" customFormat="1" ht="14.1" customHeight="1" x14ac:dyDescent="0.25">
      <c r="A32" s="1216"/>
      <c r="B32" s="1217"/>
      <c r="C32" s="1217"/>
      <c r="D32" s="1217"/>
      <c r="E32" s="1217"/>
      <c r="F32" s="1217"/>
      <c r="G32" s="1173"/>
      <c r="H32" s="1193"/>
      <c r="I32" s="1218"/>
      <c r="J32" s="1219"/>
      <c r="K32" s="1214"/>
      <c r="L32" s="1215">
        <f t="shared" si="1"/>
        <v>0</v>
      </c>
    </row>
    <row r="33" spans="1:13" s="1271" customFormat="1" ht="14.1" customHeight="1" x14ac:dyDescent="0.25">
      <c r="A33" s="1702" t="s">
        <v>478</v>
      </c>
      <c r="B33" s="1702"/>
      <c r="C33" s="1702"/>
      <c r="D33" s="1702"/>
      <c r="E33" s="1702"/>
      <c r="F33" s="1702"/>
      <c r="G33" s="1702"/>
      <c r="H33" s="1702"/>
      <c r="I33" s="1702"/>
      <c r="J33" s="1702"/>
      <c r="K33" s="1702"/>
      <c r="L33" s="1208">
        <f>ROUND(SUM(L30:L32),4)</f>
        <v>29.962399999999999</v>
      </c>
    </row>
    <row r="34" spans="1:13" s="1272" customFormat="1" ht="3" customHeight="1" x14ac:dyDescent="0.25">
      <c r="A34" s="1209"/>
      <c r="B34" s="1209"/>
      <c r="C34" s="1209"/>
      <c r="D34" s="1209"/>
      <c r="E34" s="1209"/>
      <c r="F34" s="1209"/>
      <c r="G34" s="1209"/>
      <c r="H34" s="1209"/>
      <c r="I34" s="1209"/>
      <c r="J34" s="1210"/>
      <c r="K34" s="1210"/>
      <c r="L34" s="1210"/>
    </row>
    <row r="35" spans="1:13" s="1272" customFormat="1" ht="14.1" customHeight="1" x14ac:dyDescent="0.25">
      <c r="A35" s="1209"/>
      <c r="B35" s="1209"/>
      <c r="C35" s="1209"/>
      <c r="D35" s="1209"/>
      <c r="E35" s="1209"/>
      <c r="F35" s="1209"/>
      <c r="G35" s="1209"/>
      <c r="H35" s="1209"/>
      <c r="I35" s="1209"/>
      <c r="J35" s="1210"/>
      <c r="K35" s="1220" t="s">
        <v>479</v>
      </c>
      <c r="L35" s="1221">
        <f>L26+L33</f>
        <v>701.07039999999995</v>
      </c>
    </row>
    <row r="36" spans="1:13" s="1272" customFormat="1" ht="14.1" customHeight="1" x14ac:dyDescent="0.25">
      <c r="A36" s="1222" t="s">
        <v>480</v>
      </c>
      <c r="B36" s="1209"/>
      <c r="C36" s="1209"/>
      <c r="D36" s="1209"/>
      <c r="E36" s="1209"/>
      <c r="F36" s="1223">
        <v>228.84</v>
      </c>
      <c r="G36" s="1276" t="str">
        <f>L15</f>
        <v>m³</v>
      </c>
      <c r="H36" s="1222"/>
      <c r="I36" s="1209"/>
      <c r="J36" s="1225"/>
      <c r="K36" s="1226" t="s">
        <v>481</v>
      </c>
      <c r="L36" s="1292">
        <f>ROUND(L35/F36,4)</f>
        <v>3.0636000000000001</v>
      </c>
    </row>
    <row r="37" spans="1:13" s="1272" customFormat="1" ht="14.1" customHeight="1" x14ac:dyDescent="0.25">
      <c r="A37" s="1222"/>
      <c r="B37" s="1209" t="s">
        <v>482</v>
      </c>
      <c r="C37" s="1209"/>
      <c r="D37" s="1209"/>
      <c r="E37" s="1209"/>
      <c r="F37" s="1223">
        <f>ROUND([1]FIC!$F$11*[1]FIC!$H$21*[1]FIC!$H$34*[1]FIC!$L$6,5)</f>
        <v>4.8980000000000003E-2</v>
      </c>
      <c r="G37" s="1224"/>
      <c r="H37" s="1222"/>
      <c r="I37" s="1209"/>
      <c r="J37" s="1225"/>
      <c r="K37" s="1220" t="s">
        <v>483</v>
      </c>
      <c r="L37" s="1292">
        <f>ROUND(L36*F37,4)</f>
        <v>0.15010000000000001</v>
      </c>
    </row>
    <row r="38" spans="1:13" s="1272" customFormat="1" ht="14.1" customHeight="1" x14ac:dyDescent="0.25">
      <c r="A38" s="1222"/>
      <c r="B38" s="1209" t="s">
        <v>484</v>
      </c>
      <c r="C38" s="1209"/>
      <c r="D38" s="1209"/>
      <c r="E38" s="1209"/>
      <c r="F38" s="1227"/>
      <c r="G38" s="1224"/>
      <c r="H38" s="1225"/>
      <c r="I38" s="1228"/>
      <c r="J38" s="1210"/>
      <c r="K38" s="1220" t="s">
        <v>485</v>
      </c>
      <c r="L38" s="1292">
        <f>ROUND(L36*F38,4)</f>
        <v>0</v>
      </c>
      <c r="M38" s="1277"/>
    </row>
    <row r="39" spans="1:13" s="1272" customFormat="1" ht="3" customHeight="1" x14ac:dyDescent="0.25">
      <c r="A39" s="1209"/>
      <c r="B39" s="1209"/>
      <c r="C39" s="1209"/>
      <c r="D39" s="1209"/>
      <c r="E39" s="1209"/>
      <c r="F39" s="1209"/>
      <c r="G39" s="1209"/>
      <c r="H39" s="1209"/>
      <c r="I39" s="1209"/>
      <c r="J39" s="1210"/>
      <c r="K39" s="1210"/>
      <c r="L39" s="1229"/>
    </row>
    <row r="40" spans="1:13" s="1271" customFormat="1" ht="14.1" customHeight="1" x14ac:dyDescent="0.25">
      <c r="A40" s="1696" t="s">
        <v>486</v>
      </c>
      <c r="B40" s="1696"/>
      <c r="C40" s="1696"/>
      <c r="D40" s="1696"/>
      <c r="E40" s="1696"/>
      <c r="F40" s="1696"/>
      <c r="G40" s="1696"/>
      <c r="H40" s="1696"/>
      <c r="I40" s="1704" t="s">
        <v>487</v>
      </c>
      <c r="J40" s="1704"/>
      <c r="K40" s="1704"/>
      <c r="L40" s="1230">
        <f>ROUND(SUM(L36:L39),4)</f>
        <v>3.2136999999999998</v>
      </c>
    </row>
    <row r="41" spans="1:13" s="1272" customFormat="1" ht="3" customHeight="1" x14ac:dyDescent="0.25">
      <c r="A41" s="710"/>
      <c r="B41" s="710"/>
      <c r="C41" s="710"/>
      <c r="D41" s="710"/>
      <c r="E41" s="710"/>
      <c r="F41" s="710"/>
      <c r="G41" s="1231"/>
      <c r="H41" s="1231"/>
      <c r="I41" s="1232"/>
      <c r="J41" s="1232"/>
      <c r="K41" s="1232"/>
      <c r="L41" s="710"/>
    </row>
    <row r="42" spans="1:13" s="1271" customFormat="1" ht="14.1" customHeight="1" x14ac:dyDescent="0.25">
      <c r="A42" s="1696" t="s">
        <v>488</v>
      </c>
      <c r="B42" s="1696"/>
      <c r="C42" s="1696"/>
      <c r="D42" s="1696"/>
      <c r="E42" s="1696"/>
      <c r="F42" s="1696"/>
      <c r="G42" s="1696"/>
      <c r="H42" s="1697" t="s">
        <v>164</v>
      </c>
      <c r="I42" s="1697"/>
      <c r="J42" s="1697" t="s">
        <v>163</v>
      </c>
      <c r="K42" s="1192" t="s">
        <v>489</v>
      </c>
      <c r="L42" s="1192" t="s">
        <v>472</v>
      </c>
    </row>
    <row r="43" spans="1:13" s="1271" customFormat="1" ht="14.1" customHeight="1" x14ac:dyDescent="0.25">
      <c r="A43" s="1696"/>
      <c r="B43" s="1696"/>
      <c r="C43" s="1696"/>
      <c r="D43" s="1696"/>
      <c r="E43" s="1696"/>
      <c r="F43" s="1696"/>
      <c r="G43" s="1696"/>
      <c r="H43" s="1697"/>
      <c r="I43" s="1697"/>
      <c r="J43" s="1697"/>
      <c r="K43" s="1233" t="s">
        <v>490</v>
      </c>
      <c r="L43" s="1194" t="s">
        <v>490</v>
      </c>
    </row>
    <row r="44" spans="1:13" s="1271" customFormat="1" ht="14.1" customHeight="1" x14ac:dyDescent="0.25">
      <c r="A44" s="1234"/>
      <c r="B44" s="1204"/>
      <c r="C44" s="1197"/>
      <c r="D44" s="1204"/>
      <c r="E44" s="1204"/>
      <c r="F44" s="1204"/>
      <c r="G44" s="1235"/>
      <c r="H44" s="1705"/>
      <c r="I44" s="1705"/>
      <c r="J44" s="1237"/>
      <c r="K44" s="1214"/>
      <c r="L44" s="1202">
        <f t="shared" ref="L44:L45" si="2">ROUND(K44*H44,4)</f>
        <v>0</v>
      </c>
    </row>
    <row r="45" spans="1:13" s="1271" customFormat="1" ht="9.4499999999999993" customHeight="1" x14ac:dyDescent="0.25">
      <c r="A45" s="1239"/>
      <c r="B45" s="1197"/>
      <c r="C45" s="1197"/>
      <c r="D45" s="1217"/>
      <c r="E45" s="1217"/>
      <c r="F45" s="1217"/>
      <c r="G45" s="1240"/>
      <c r="H45" s="1706"/>
      <c r="I45" s="1706"/>
      <c r="J45" s="1237"/>
      <c r="K45" s="1214"/>
      <c r="L45" s="1202">
        <f t="shared" si="2"/>
        <v>0</v>
      </c>
    </row>
    <row r="46" spans="1:13" s="1271" customFormat="1" ht="14.1" customHeight="1" x14ac:dyDescent="0.25">
      <c r="A46" s="1707" t="s">
        <v>491</v>
      </c>
      <c r="B46" s="1707"/>
      <c r="C46" s="1707"/>
      <c r="D46" s="1707"/>
      <c r="E46" s="1707"/>
      <c r="F46" s="1707"/>
      <c r="G46" s="1707"/>
      <c r="H46" s="1707"/>
      <c r="I46" s="1707"/>
      <c r="J46" s="1707"/>
      <c r="K46" s="1707"/>
      <c r="L46" s="1230">
        <f>ROUND(SUM(L44:L45),4)</f>
        <v>0</v>
      </c>
    </row>
    <row r="47" spans="1:13" s="1272" customFormat="1" ht="3" customHeight="1" x14ac:dyDescent="0.25">
      <c r="A47" s="1241"/>
      <c r="B47" s="1241"/>
      <c r="C47" s="1241"/>
      <c r="D47" s="1241"/>
      <c r="E47" s="1241"/>
      <c r="F47" s="1241"/>
      <c r="G47" s="1241"/>
      <c r="H47" s="1241"/>
      <c r="I47" s="1241"/>
      <c r="J47" s="710"/>
      <c r="K47" s="1242"/>
      <c r="L47" s="1243"/>
    </row>
    <row r="48" spans="1:13" s="1271" customFormat="1" ht="14.1" customHeight="1" x14ac:dyDescent="0.25">
      <c r="A48" s="1696" t="s">
        <v>492</v>
      </c>
      <c r="B48" s="1696"/>
      <c r="C48" s="1696"/>
      <c r="D48" s="1696"/>
      <c r="E48" s="1696"/>
      <c r="F48" s="1696"/>
      <c r="G48" s="1703" t="s">
        <v>493</v>
      </c>
      <c r="H48" s="1697" t="s">
        <v>494</v>
      </c>
      <c r="I48" s="1697"/>
      <c r="J48" s="1697"/>
      <c r="K48" s="1697"/>
      <c r="L48" s="1697" t="s">
        <v>495</v>
      </c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211" t="s">
        <v>110</v>
      </c>
      <c r="I49" s="1218" t="s">
        <v>302</v>
      </c>
      <c r="J49" s="1194" t="s">
        <v>305</v>
      </c>
      <c r="K49" s="1233" t="s">
        <v>307</v>
      </c>
      <c r="L49" s="1697"/>
    </row>
    <row r="50" spans="1:12" s="1271" customFormat="1" ht="14.1" customHeight="1" x14ac:dyDescent="0.25">
      <c r="A50" s="1696"/>
      <c r="B50" s="1696"/>
      <c r="C50" s="1696"/>
      <c r="D50" s="1696"/>
      <c r="E50" s="1696"/>
      <c r="F50" s="1696"/>
      <c r="G50" s="1703"/>
      <c r="H50" s="1191" t="s">
        <v>496</v>
      </c>
      <c r="I50" s="1244"/>
      <c r="J50" s="1244"/>
      <c r="K50" s="1244"/>
      <c r="L50" s="1697"/>
    </row>
    <row r="51" spans="1:12" s="1271" customFormat="1" ht="14.1" customHeight="1" x14ac:dyDescent="0.25">
      <c r="A51" s="1709"/>
      <c r="B51" s="1710"/>
      <c r="C51" s="1711"/>
      <c r="D51" s="1712"/>
      <c r="E51" s="1712"/>
      <c r="F51" s="1713"/>
      <c r="G51" s="1714">
        <f>ROUND(H44/1000,5)</f>
        <v>0</v>
      </c>
      <c r="H51" s="1245" t="s">
        <v>497</v>
      </c>
      <c r="I51" s="1246"/>
      <c r="J51" s="1246"/>
      <c r="K51" s="1246"/>
      <c r="L51" s="1715">
        <f>ROUND(G51*($I$50*I52+$J$50*J52+$K$50*K52),4)</f>
        <v>0</v>
      </c>
    </row>
    <row r="52" spans="1:12" s="1271" customFormat="1" ht="14.1" customHeight="1" x14ac:dyDescent="0.25">
      <c r="A52" s="1709"/>
      <c r="B52" s="1710"/>
      <c r="C52" s="1711"/>
      <c r="D52" s="1712"/>
      <c r="E52" s="1712"/>
      <c r="F52" s="1713"/>
      <c r="G52" s="1714"/>
      <c r="H52" s="1247" t="s">
        <v>498</v>
      </c>
      <c r="I52" s="1248"/>
      <c r="J52" s="1248"/>
      <c r="K52" s="1248"/>
      <c r="L52" s="1715"/>
    </row>
    <row r="53" spans="1:12" s="1271" customFormat="1" ht="14.1" customHeight="1" x14ac:dyDescent="0.25">
      <c r="A53" s="1195"/>
      <c r="B53" s="1284"/>
      <c r="C53" s="1197"/>
      <c r="D53" s="1285"/>
      <c r="E53" s="1285"/>
      <c r="F53" s="1286"/>
      <c r="G53" s="1199"/>
      <c r="H53" s="1287"/>
      <c r="I53" s="1288"/>
      <c r="J53" s="1201"/>
      <c r="K53" s="1200"/>
      <c r="L53" s="1289"/>
    </row>
    <row r="54" spans="1:12" s="1271" customFormat="1" ht="14.1" customHeight="1" x14ac:dyDescent="0.25">
      <c r="A54" s="1239"/>
      <c r="B54" s="1197"/>
      <c r="C54" s="1197"/>
      <c r="D54" s="1217"/>
      <c r="E54" s="1217"/>
      <c r="F54" s="1217"/>
      <c r="G54" s="1249"/>
      <c r="H54" s="1250"/>
      <c r="I54" s="1250"/>
      <c r="J54" s="1251"/>
      <c r="K54" s="1252"/>
      <c r="L54" s="1202">
        <f>G54*H54*K54</f>
        <v>0</v>
      </c>
    </row>
    <row r="55" spans="1:12" s="1271" customFormat="1" ht="14.1" customHeight="1" x14ac:dyDescent="0.25">
      <c r="A55" s="1707" t="s">
        <v>499</v>
      </c>
      <c r="B55" s="1707"/>
      <c r="C55" s="1707"/>
      <c r="D55" s="1707"/>
      <c r="E55" s="1707"/>
      <c r="F55" s="1707"/>
      <c r="G55" s="1707"/>
      <c r="H55" s="1707"/>
      <c r="I55" s="1707"/>
      <c r="J55" s="1707"/>
      <c r="K55" s="1707"/>
      <c r="L55" s="1480">
        <f>ROUND(SUM(L51:L54),4)</f>
        <v>0</v>
      </c>
    </row>
    <row r="56" spans="1:12" s="1271" customFormat="1" ht="3" customHeight="1" x14ac:dyDescent="0.25">
      <c r="A56" s="1254"/>
      <c r="B56" s="1254"/>
      <c r="C56" s="1254"/>
      <c r="D56" s="1254"/>
      <c r="E56" s="1254"/>
      <c r="F56" s="1254"/>
      <c r="G56" s="1241"/>
      <c r="H56" s="1255"/>
      <c r="I56" s="1255"/>
      <c r="J56" s="1256"/>
      <c r="K56" s="1257"/>
      <c r="L56" s="1258"/>
    </row>
    <row r="57" spans="1:12" s="1271" customFormat="1" ht="15" customHeight="1" x14ac:dyDescent="0.25">
      <c r="A57" s="1707" t="s">
        <v>448</v>
      </c>
      <c r="B57" s="1707"/>
      <c r="C57" s="1707"/>
      <c r="D57" s="1707"/>
      <c r="E57" s="1707"/>
      <c r="F57" s="1707"/>
      <c r="G57" s="1707"/>
      <c r="H57" s="1707"/>
      <c r="I57" s="1707"/>
      <c r="J57" s="1707"/>
      <c r="K57" s="1707"/>
      <c r="L57" s="1253">
        <f>ROUND(L40+L46+L55,4)</f>
        <v>3.2136999999999998</v>
      </c>
    </row>
    <row r="58" spans="1:12" s="1271" customFormat="1" ht="15" customHeight="1" x14ac:dyDescent="0.25">
      <c r="A58" s="1716" t="s">
        <v>449</v>
      </c>
      <c r="B58" s="1716"/>
      <c r="C58" s="1716"/>
      <c r="D58" s="1716"/>
      <c r="E58" s="1716"/>
      <c r="F58" s="1716"/>
      <c r="G58" s="1716"/>
      <c r="H58" s="1716"/>
      <c r="I58" s="1716"/>
      <c r="J58" s="1716"/>
      <c r="K58" s="1259">
        <f>[1]LDI!I34</f>
        <v>0.25569999999999998</v>
      </c>
      <c r="L58" s="1298">
        <f>ROUND(L57*K58,4)</f>
        <v>0.82169999999999999</v>
      </c>
    </row>
    <row r="59" spans="1:12" s="1271" customFormat="1" ht="21.75" customHeight="1" x14ac:dyDescent="0.25">
      <c r="A59" s="1704" t="s">
        <v>450</v>
      </c>
      <c r="B59" s="1704"/>
      <c r="C59" s="1704"/>
      <c r="D59" s="1704"/>
      <c r="E59" s="1704"/>
      <c r="F59" s="1704"/>
      <c r="G59" s="1704"/>
      <c r="H59" s="1704"/>
      <c r="I59" s="1704"/>
      <c r="J59" s="1704"/>
      <c r="K59" s="1704"/>
      <c r="L59" s="1260">
        <f>ROUND(L57+L58,2)</f>
        <v>4.04</v>
      </c>
    </row>
    <row r="60" spans="1:12" s="1271" customFormat="1" ht="20.25" customHeight="1" x14ac:dyDescent="0.25">
      <c r="A60" s="1261"/>
      <c r="B60" s="1261"/>
      <c r="C60" s="1261"/>
      <c r="D60" s="1261"/>
      <c r="E60" s="1261"/>
      <c r="F60" s="1261"/>
      <c r="G60" s="1261"/>
      <c r="H60" s="1261"/>
      <c r="I60" s="1261"/>
      <c r="J60" s="1261"/>
      <c r="K60" s="1261"/>
      <c r="L60" s="1261"/>
    </row>
    <row r="61" spans="1:12" s="1271" customFormat="1" ht="21.9" customHeight="1" x14ac:dyDescent="0.25">
      <c r="A61" s="1262" t="s">
        <v>451</v>
      </c>
      <c r="B61" s="1263"/>
      <c r="C61" s="1717" t="s">
        <v>702</v>
      </c>
      <c r="D61" s="1717"/>
      <c r="E61" s="1717"/>
      <c r="F61" s="1717"/>
      <c r="G61" s="1717"/>
      <c r="H61" s="1717"/>
      <c r="I61" s="1717"/>
      <c r="J61" s="1717"/>
      <c r="K61" s="1717"/>
      <c r="L61" s="1717"/>
    </row>
    <row r="62" spans="1:12" s="1271" customFormat="1" ht="15" customHeight="1" x14ac:dyDescent="0.25">
      <c r="A62" s="1264"/>
      <c r="B62" s="1265"/>
      <c r="C62" s="1708" t="s">
        <v>507</v>
      </c>
      <c r="D62" s="1708"/>
      <c r="E62" s="1708"/>
      <c r="F62" s="1708"/>
      <c r="G62" s="1708"/>
      <c r="H62" s="1708"/>
      <c r="I62" s="1708"/>
      <c r="J62" s="1708"/>
      <c r="K62" s="1708"/>
      <c r="L62" s="1708"/>
    </row>
    <row r="63" spans="1:12" s="1271" customFormat="1" ht="15" customHeight="1" x14ac:dyDescent="0.25">
      <c r="A63" s="1267"/>
      <c r="B63" s="1268"/>
      <c r="C63" s="1268"/>
      <c r="D63" s="1268"/>
      <c r="E63" s="1268"/>
      <c r="F63" s="1268"/>
      <c r="G63" s="1268"/>
      <c r="H63" s="1268"/>
      <c r="I63" s="1268"/>
      <c r="J63" s="1268"/>
      <c r="K63" s="1268"/>
      <c r="L63" s="1269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51">
    <mergeCell ref="C62:L62"/>
    <mergeCell ref="L51:L52"/>
    <mergeCell ref="A55:K55"/>
    <mergeCell ref="A57:K57"/>
    <mergeCell ref="A58:J58"/>
    <mergeCell ref="A59:K59"/>
    <mergeCell ref="C61:L61"/>
    <mergeCell ref="A48:F50"/>
    <mergeCell ref="G48:G50"/>
    <mergeCell ref="H48:K48"/>
    <mergeCell ref="L48:L50"/>
    <mergeCell ref="A51:A52"/>
    <mergeCell ref="B51:B52"/>
    <mergeCell ref="C51:C52"/>
    <mergeCell ref="D51:E52"/>
    <mergeCell ref="F51:F52"/>
    <mergeCell ref="G51:G52"/>
    <mergeCell ref="A46:K46"/>
    <mergeCell ref="A28:I29"/>
    <mergeCell ref="J28:J29"/>
    <mergeCell ref="K28:K29"/>
    <mergeCell ref="D30:I30"/>
    <mergeCell ref="A33:K33"/>
    <mergeCell ref="A40:H40"/>
    <mergeCell ref="I40:K40"/>
    <mergeCell ref="A42:G43"/>
    <mergeCell ref="H42:I43"/>
    <mergeCell ref="J42:J43"/>
    <mergeCell ref="H44:I44"/>
    <mergeCell ref="H45:I45"/>
    <mergeCell ref="A26:K26"/>
    <mergeCell ref="A8:L8"/>
    <mergeCell ref="A9:D9"/>
    <mergeCell ref="E9:L9"/>
    <mergeCell ref="A12:L13"/>
    <mergeCell ref="E15:J15"/>
    <mergeCell ref="A17:F18"/>
    <mergeCell ref="G17:G18"/>
    <mergeCell ref="H17:I17"/>
    <mergeCell ref="J17:K17"/>
    <mergeCell ref="D19:F19"/>
    <mergeCell ref="D20:F20"/>
    <mergeCell ref="D21:F21"/>
    <mergeCell ref="D22:F22"/>
    <mergeCell ref="D23:F23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5" xr:uid="{00000000-0002-0000-23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65536"/>
  <sheetViews>
    <sheetView view="pageBreakPreview" zoomScale="90" zoomScaleNormal="80" zoomScaleSheetLayoutView="90" workbookViewId="0">
      <selection activeCell="A18" sqref="A18:K21"/>
    </sheetView>
  </sheetViews>
  <sheetFormatPr defaultColWidth="9.21875" defaultRowHeight="15" customHeight="1" x14ac:dyDescent="0.2"/>
  <cols>
    <col min="1" max="2" width="7.6640625" style="713" customWidth="1"/>
    <col min="3" max="3" width="2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9.33203125" style="713" customWidth="1"/>
    <col min="9" max="11" width="8.77734375" style="713" customWidth="1"/>
    <col min="12" max="12" width="10.66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</row>
    <row r="3" spans="1:12" ht="18" customHeight="1" x14ac:dyDescent="0.25">
      <c r="A3" s="1828" t="str">
        <f>'8.3'!A3:K3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'8.3'!A4:K4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12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703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1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75" customHeight="1" x14ac:dyDescent="0.2">
      <c r="A9" s="1278"/>
      <c r="B9" s="353"/>
      <c r="C9" s="352"/>
      <c r="D9" s="353"/>
      <c r="E9" s="352"/>
      <c r="F9" s="352"/>
      <c r="G9" s="352"/>
      <c r="H9" s="352"/>
      <c r="I9" s="352"/>
      <c r="J9" s="352"/>
      <c r="K9" s="352"/>
      <c r="L9" s="1279"/>
    </row>
    <row r="10" spans="1:12" ht="15" customHeight="1" x14ac:dyDescent="0.2">
      <c r="A10" s="1693" t="s">
        <v>413</v>
      </c>
      <c r="B10" s="1693"/>
      <c r="C10" s="1693"/>
      <c r="D10" s="1693"/>
      <c r="E10" s="1737" t="str">
        <f>'[1]Planilha orçamentária'!E9</f>
        <v>Construção / Recuperação e complementação de estradas vicinais</v>
      </c>
      <c r="F10" s="1737"/>
      <c r="G10" s="1737"/>
      <c r="H10" s="1737"/>
      <c r="I10" s="1737"/>
      <c r="J10" s="1737"/>
      <c r="K10" s="1737"/>
      <c r="L10" s="1737"/>
    </row>
    <row r="11" spans="1:12" ht="5.0999999999999996" customHeight="1" x14ac:dyDescent="0.2">
      <c r="A11" s="1182"/>
      <c r="B11" s="1175"/>
      <c r="C11" s="1183"/>
      <c r="D11" s="1175"/>
      <c r="E11" s="1175"/>
      <c r="F11" s="1174"/>
      <c r="G11" s="1174"/>
      <c r="H11" s="1174"/>
      <c r="I11" s="1174"/>
      <c r="J11" s="1174"/>
      <c r="K11" s="1174"/>
      <c r="L11" s="1184"/>
    </row>
    <row r="12" spans="1:12" ht="5.0999999999999996" customHeight="1" x14ac:dyDescent="0.2">
      <c r="A12" s="709"/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1178"/>
    </row>
    <row r="13" spans="1:12" ht="15" customHeight="1" x14ac:dyDescent="0.2">
      <c r="A13" s="1694" t="s">
        <v>414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9.4499999999999993" customHeight="1" x14ac:dyDescent="0.2">
      <c r="A14" s="1694"/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</row>
    <row r="15" spans="1:12" ht="3" customHeight="1" x14ac:dyDescent="0.2">
      <c r="A15" s="1185"/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</row>
    <row r="16" spans="1:12" s="1271" customFormat="1" ht="24.9" customHeight="1" x14ac:dyDescent="0.25">
      <c r="A16" s="1186" t="s">
        <v>415</v>
      </c>
      <c r="B16" s="1187"/>
      <c r="C16" s="1187"/>
      <c r="D16" s="1188" t="str">
        <f>'[1]Planilha orçamentária'!B157</f>
        <v>9.1</v>
      </c>
      <c r="E16" s="1718" t="s">
        <v>704</v>
      </c>
      <c r="F16" s="1718"/>
      <c r="G16" s="1718"/>
      <c r="H16" s="1718"/>
      <c r="I16" s="1718"/>
      <c r="J16" s="1718"/>
      <c r="K16" s="1189" t="s">
        <v>417</v>
      </c>
      <c r="L16" s="1190" t="s">
        <v>551</v>
      </c>
    </row>
    <row r="17" spans="1:14" s="1272" customFormat="1" ht="3" customHeight="1" x14ac:dyDescent="0.25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4" s="1271" customFormat="1" ht="14.1" customHeight="1" x14ac:dyDescent="0.25">
      <c r="A18" s="1696" t="s">
        <v>426</v>
      </c>
      <c r="B18" s="1696"/>
      <c r="C18" s="1696"/>
      <c r="D18" s="1696"/>
      <c r="E18" s="1696"/>
      <c r="F18" s="1696"/>
      <c r="G18" s="1697" t="s">
        <v>164</v>
      </c>
      <c r="H18" s="1697" t="s">
        <v>284</v>
      </c>
      <c r="I18" s="1697"/>
      <c r="J18" s="1698" t="s">
        <v>471</v>
      </c>
      <c r="K18" s="1698"/>
      <c r="L18" s="1192" t="s">
        <v>472</v>
      </c>
    </row>
    <row r="19" spans="1:14" s="1271" customFormat="1" ht="15.75" customHeight="1" x14ac:dyDescent="0.25">
      <c r="A19" s="1696"/>
      <c r="B19" s="1696"/>
      <c r="C19" s="1696"/>
      <c r="D19" s="1696"/>
      <c r="E19" s="1696"/>
      <c r="F19" s="1696"/>
      <c r="G19" s="1697"/>
      <c r="H19" s="1191" t="s">
        <v>473</v>
      </c>
      <c r="I19" s="1193" t="s">
        <v>474</v>
      </c>
      <c r="J19" s="1191" t="s">
        <v>473</v>
      </c>
      <c r="K19" s="1193" t="s">
        <v>474</v>
      </c>
      <c r="L19" s="1194" t="s">
        <v>475</v>
      </c>
    </row>
    <row r="20" spans="1:14" s="1271" customFormat="1" ht="14.1" customHeight="1" x14ac:dyDescent="0.25">
      <c r="A20" s="1481" t="str">
        <f>'[1]Atualização de custos unitarios'!A37</f>
        <v>DNIT –</v>
      </c>
      <c r="B20" s="1212" t="str">
        <f>'[1]Atualização de custos unitarios'!B37</f>
        <v>E9540</v>
      </c>
      <c r="C20" s="1197" t="s">
        <v>434</v>
      </c>
      <c r="D20" s="1254" t="str">
        <f>'[1]Atualização de custos unitarios'!C37</f>
        <v>Trator de esteiras com lâmina - 112 kW (D6N - Caterpillar)</v>
      </c>
      <c r="E20" s="1254"/>
      <c r="F20" s="1254"/>
      <c r="G20" s="1236">
        <v>1</v>
      </c>
      <c r="H20" s="1200">
        <v>1</v>
      </c>
      <c r="I20" s="1201">
        <v>0</v>
      </c>
      <c r="J20" s="1289">
        <f>'[1]Composições - Equipamentos'!S35</f>
        <v>199.35740000000001</v>
      </c>
      <c r="K20" s="1289">
        <f>'[1]Composições - Equipamentos'!T35</f>
        <v>80.469300000000004</v>
      </c>
      <c r="L20" s="1238">
        <f t="shared" ref="L20:L22" si="0">ROUND((G20*H20*J20)+(G20*I20*K20),4)</f>
        <v>199.35740000000001</v>
      </c>
    </row>
    <row r="21" spans="1:14" s="1271" customFormat="1" ht="14.1" customHeight="1" x14ac:dyDescent="0.25">
      <c r="A21" s="1477"/>
      <c r="B21" s="1196"/>
      <c r="C21" s="1197"/>
      <c r="D21" s="1699"/>
      <c r="E21" s="1699"/>
      <c r="F21" s="1699"/>
      <c r="G21" s="1199"/>
      <c r="H21" s="1200"/>
      <c r="I21" s="1201"/>
      <c r="J21" s="1299"/>
      <c r="K21" s="1299"/>
      <c r="L21" s="1202">
        <f t="shared" si="0"/>
        <v>0</v>
      </c>
    </row>
    <row r="22" spans="1:14" s="1271" customFormat="1" ht="14.1" customHeight="1" x14ac:dyDescent="0.25">
      <c r="A22" s="1239"/>
      <c r="B22" s="1204"/>
      <c r="C22" s="1197"/>
      <c r="D22" s="1204"/>
      <c r="E22" s="1204"/>
      <c r="F22" s="1204"/>
      <c r="G22" s="1205"/>
      <c r="H22" s="1200"/>
      <c r="I22" s="1201"/>
      <c r="J22" s="1301"/>
      <c r="K22" s="1300"/>
      <c r="L22" s="1202">
        <f t="shared" si="0"/>
        <v>0</v>
      </c>
    </row>
    <row r="23" spans="1:14" s="1271" customFormat="1" ht="14.1" customHeight="1" x14ac:dyDescent="0.25">
      <c r="A23" s="1702" t="s">
        <v>476</v>
      </c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208">
        <f>ROUND(SUM(L20:L22),4)</f>
        <v>199.35740000000001</v>
      </c>
    </row>
    <row r="24" spans="1:14" s="1271" customFormat="1" ht="3" customHeight="1" x14ac:dyDescent="0.25">
      <c r="A24" s="1209"/>
      <c r="B24" s="1209"/>
      <c r="C24" s="1209"/>
      <c r="D24" s="1209"/>
      <c r="E24" s="1209"/>
      <c r="F24" s="1209"/>
      <c r="G24" s="1209"/>
      <c r="H24" s="1210"/>
      <c r="I24" s="1210"/>
      <c r="J24" s="1210"/>
      <c r="K24" s="1210"/>
      <c r="L24" s="1210"/>
    </row>
    <row r="25" spans="1:14" s="1271" customFormat="1" ht="14.1" customHeight="1" x14ac:dyDescent="0.25">
      <c r="A25" s="1696" t="s">
        <v>439</v>
      </c>
      <c r="B25" s="1696"/>
      <c r="C25" s="1696"/>
      <c r="D25" s="1696"/>
      <c r="E25" s="1696"/>
      <c r="F25" s="1696"/>
      <c r="G25" s="1696"/>
      <c r="H25" s="1696"/>
      <c r="I25" s="1696"/>
      <c r="J25" s="1697" t="s">
        <v>164</v>
      </c>
      <c r="K25" s="1703" t="s">
        <v>477</v>
      </c>
      <c r="L25" s="1192" t="s">
        <v>441</v>
      </c>
    </row>
    <row r="26" spans="1:14" s="1271" customFormat="1" ht="14.1" customHeight="1" x14ac:dyDescent="0.25">
      <c r="A26" s="1696"/>
      <c r="B26" s="1696"/>
      <c r="C26" s="1696"/>
      <c r="D26" s="1696"/>
      <c r="E26" s="1696"/>
      <c r="F26" s="1696"/>
      <c r="G26" s="1696"/>
      <c r="H26" s="1696"/>
      <c r="I26" s="1696"/>
      <c r="J26" s="1697"/>
      <c r="K26" s="1703"/>
      <c r="L26" s="1194" t="s">
        <v>475</v>
      </c>
    </row>
    <row r="27" spans="1:14" s="1271" customFormat="1" ht="14.1" customHeight="1" x14ac:dyDescent="0.25">
      <c r="A27" s="1195" t="str">
        <f>'[1]Atualização de custos unitarios'!A84</f>
        <v>DNIT –</v>
      </c>
      <c r="B27" s="1212" t="str">
        <f>'[1]Atualização de custos unitarios'!B84</f>
        <v>P9824</v>
      </c>
      <c r="C27" s="1197" t="s">
        <v>434</v>
      </c>
      <c r="D27" s="1699" t="str">
        <f>'[1]Atualização de custos unitarios'!C84</f>
        <v>Servente</v>
      </c>
      <c r="E27" s="1699"/>
      <c r="F27" s="1699"/>
      <c r="G27" s="1699"/>
      <c r="H27" s="1699"/>
      <c r="I27" s="1699"/>
      <c r="J27" s="1213">
        <v>1</v>
      </c>
      <c r="K27" s="1302">
        <f>'1.1'!G100</f>
        <v>14.981199999999999</v>
      </c>
      <c r="L27" s="1215">
        <f t="shared" ref="L27:L29" si="1">ROUND(J27*K27,4)</f>
        <v>14.981199999999999</v>
      </c>
      <c r="N27" s="1274"/>
    </row>
    <row r="28" spans="1:14" s="1271" customFormat="1" ht="9.4499999999999993" customHeight="1" x14ac:dyDescent="0.25">
      <c r="A28" s="1195"/>
      <c r="B28" s="1196"/>
      <c r="C28" s="1197"/>
      <c r="D28" s="1204"/>
      <c r="E28" s="1204"/>
      <c r="F28" s="1204"/>
      <c r="G28" s="1204"/>
      <c r="H28" s="1204"/>
      <c r="I28" s="1198"/>
      <c r="J28" s="1213"/>
      <c r="K28" s="1302"/>
      <c r="L28" s="1215">
        <f t="shared" si="1"/>
        <v>0</v>
      </c>
      <c r="N28" s="1274"/>
    </row>
    <row r="29" spans="1:14" s="1271" customFormat="1" ht="14.1" customHeight="1" x14ac:dyDescent="0.25">
      <c r="A29" s="1216"/>
      <c r="B29" s="1217"/>
      <c r="C29" s="1217"/>
      <c r="D29" s="1217"/>
      <c r="E29" s="1217"/>
      <c r="F29" s="1217"/>
      <c r="G29" s="1173"/>
      <c r="H29" s="1193"/>
      <c r="I29" s="1218"/>
      <c r="J29" s="1219"/>
      <c r="K29" s="1302"/>
      <c r="L29" s="1215">
        <f t="shared" si="1"/>
        <v>0</v>
      </c>
    </row>
    <row r="30" spans="1:14" s="1271" customFormat="1" ht="14.1" customHeight="1" x14ac:dyDescent="0.25">
      <c r="A30" s="1702" t="s">
        <v>478</v>
      </c>
      <c r="B30" s="1702"/>
      <c r="C30" s="1702"/>
      <c r="D30" s="1702"/>
      <c r="E30" s="1702"/>
      <c r="F30" s="1702"/>
      <c r="G30" s="1702"/>
      <c r="H30" s="1702"/>
      <c r="I30" s="1702"/>
      <c r="J30" s="1702"/>
      <c r="K30" s="1702"/>
      <c r="L30" s="1208">
        <f>ROUND(SUM(L27:L29),4)</f>
        <v>14.981199999999999</v>
      </c>
    </row>
    <row r="31" spans="1:14" s="1272" customFormat="1" ht="3" customHeight="1" x14ac:dyDescent="0.25">
      <c r="A31" s="1209"/>
      <c r="B31" s="1209"/>
      <c r="C31" s="1209"/>
      <c r="D31" s="1209"/>
      <c r="E31" s="1209"/>
      <c r="F31" s="1209"/>
      <c r="G31" s="1209"/>
      <c r="H31" s="1209"/>
      <c r="I31" s="1209"/>
      <c r="J31" s="1210"/>
      <c r="K31" s="1210"/>
      <c r="L31" s="1229"/>
    </row>
    <row r="32" spans="1:14" s="1272" customFormat="1" ht="14.1" customHeight="1" x14ac:dyDescent="0.25">
      <c r="A32" s="1209"/>
      <c r="B32" s="1209"/>
      <c r="C32" s="1209"/>
      <c r="D32" s="1209"/>
      <c r="E32" s="1209"/>
      <c r="F32" s="1209"/>
      <c r="G32" s="1209"/>
      <c r="H32" s="1209"/>
      <c r="I32" s="1209"/>
      <c r="J32" s="1210"/>
      <c r="K32" s="1220" t="s">
        <v>479</v>
      </c>
      <c r="L32" s="1221">
        <f>L23+L30</f>
        <v>214.33860000000001</v>
      </c>
    </row>
    <row r="33" spans="1:12" s="1272" customFormat="1" ht="14.1" customHeight="1" x14ac:dyDescent="0.25">
      <c r="A33" s="1222" t="s">
        <v>480</v>
      </c>
      <c r="B33" s="1209"/>
      <c r="C33" s="1209"/>
      <c r="D33" s="1209"/>
      <c r="E33" s="1482"/>
      <c r="F33" s="1223">
        <v>632.13</v>
      </c>
      <c r="G33" s="1276" t="str">
        <f>L16</f>
        <v>m³</v>
      </c>
      <c r="H33" s="1222"/>
      <c r="I33" s="1209"/>
      <c r="J33" s="1225"/>
      <c r="K33" s="1226" t="s">
        <v>481</v>
      </c>
      <c r="L33" s="1208">
        <f>ROUND(L32/F33,4)</f>
        <v>0.33910000000000001</v>
      </c>
    </row>
    <row r="34" spans="1:12" s="1272" customFormat="1" ht="14.1" customHeight="1" x14ac:dyDescent="0.25">
      <c r="A34" s="1222"/>
      <c r="B34" s="1209" t="s">
        <v>482</v>
      </c>
      <c r="C34" s="1209"/>
      <c r="D34" s="1209"/>
      <c r="E34" s="1209"/>
      <c r="F34" s="1223">
        <f>ROUND([1]FIC!$F$11*[1]FIC!$H$21*[1]FIC!$H$34*[1]FIC!$L$6,5)</f>
        <v>4.8980000000000003E-2</v>
      </c>
      <c r="G34" s="1224"/>
      <c r="H34" s="1222"/>
      <c r="I34" s="1209"/>
      <c r="J34" s="1225"/>
      <c r="K34" s="1220" t="s">
        <v>483</v>
      </c>
      <c r="L34" s="1208">
        <f>ROUND(L33*F34,4)</f>
        <v>1.66E-2</v>
      </c>
    </row>
    <row r="35" spans="1:12" s="1272" customFormat="1" ht="14.1" customHeight="1" x14ac:dyDescent="0.25">
      <c r="A35" s="1222"/>
      <c r="B35" s="1209" t="s">
        <v>484</v>
      </c>
      <c r="C35" s="1209"/>
      <c r="D35" s="1209"/>
      <c r="E35" s="1209"/>
      <c r="F35" s="1227"/>
      <c r="G35" s="1224"/>
      <c r="H35" s="1225"/>
      <c r="I35" s="1228"/>
      <c r="J35" s="1210"/>
      <c r="K35" s="1220" t="s">
        <v>485</v>
      </c>
      <c r="L35" s="1208">
        <f>ROUND(L33*F35,4)</f>
        <v>0</v>
      </c>
    </row>
    <row r="36" spans="1:12" s="1272" customFormat="1" ht="3" customHeight="1" x14ac:dyDescent="0.25">
      <c r="A36" s="1209"/>
      <c r="B36" s="1209"/>
      <c r="C36" s="1209"/>
      <c r="D36" s="1209"/>
      <c r="E36" s="1209"/>
      <c r="F36" s="1209"/>
      <c r="G36" s="1209"/>
      <c r="H36" s="1209"/>
      <c r="I36" s="1209"/>
      <c r="J36" s="1210"/>
      <c r="K36" s="1210"/>
      <c r="L36" s="1229"/>
    </row>
    <row r="37" spans="1:12" s="1271" customFormat="1" ht="14.1" customHeight="1" x14ac:dyDescent="0.25">
      <c r="A37" s="1696" t="s">
        <v>486</v>
      </c>
      <c r="B37" s="1696"/>
      <c r="C37" s="1696"/>
      <c r="D37" s="1696"/>
      <c r="E37" s="1696"/>
      <c r="F37" s="1696"/>
      <c r="G37" s="1696"/>
      <c r="H37" s="1696"/>
      <c r="I37" s="1704" t="s">
        <v>487</v>
      </c>
      <c r="J37" s="1704"/>
      <c r="K37" s="1704"/>
      <c r="L37" s="1230">
        <f>ROUND(SUM(L33:L36),4)</f>
        <v>0.35570000000000002</v>
      </c>
    </row>
    <row r="38" spans="1:12" s="1272" customFormat="1" ht="3" customHeight="1" x14ac:dyDescent="0.25">
      <c r="A38" s="710"/>
      <c r="B38" s="710"/>
      <c r="C38" s="710"/>
      <c r="D38" s="710"/>
      <c r="E38" s="710"/>
      <c r="F38" s="710"/>
      <c r="G38" s="1231"/>
      <c r="H38" s="1231"/>
      <c r="I38" s="1232"/>
      <c r="J38" s="1232"/>
      <c r="K38" s="1232"/>
      <c r="L38" s="710"/>
    </row>
    <row r="39" spans="1:12" s="1271" customFormat="1" ht="14.1" customHeight="1" x14ac:dyDescent="0.25">
      <c r="A39" s="1696" t="s">
        <v>488</v>
      </c>
      <c r="B39" s="1696"/>
      <c r="C39" s="1696"/>
      <c r="D39" s="1696"/>
      <c r="E39" s="1696"/>
      <c r="F39" s="1696"/>
      <c r="G39" s="1696"/>
      <c r="H39" s="1697" t="s">
        <v>164</v>
      </c>
      <c r="I39" s="1697"/>
      <c r="J39" s="1697" t="s">
        <v>163</v>
      </c>
      <c r="K39" s="1192" t="s">
        <v>489</v>
      </c>
      <c r="L39" s="1192" t="s">
        <v>472</v>
      </c>
    </row>
    <row r="40" spans="1:12" s="1271" customFormat="1" ht="14.1" customHeight="1" x14ac:dyDescent="0.25">
      <c r="A40" s="1696"/>
      <c r="B40" s="1696"/>
      <c r="C40" s="1696"/>
      <c r="D40" s="1696"/>
      <c r="E40" s="1696"/>
      <c r="F40" s="1696"/>
      <c r="G40" s="1696"/>
      <c r="H40" s="1697"/>
      <c r="I40" s="1697"/>
      <c r="J40" s="1697"/>
      <c r="K40" s="1233" t="s">
        <v>490</v>
      </c>
      <c r="L40" s="1194" t="s">
        <v>490</v>
      </c>
    </row>
    <row r="41" spans="1:12" s="1271" customFormat="1" ht="14.1" customHeight="1" x14ac:dyDescent="0.25">
      <c r="A41" s="1234"/>
      <c r="B41" s="1204"/>
      <c r="C41" s="1197"/>
      <c r="D41" s="1204"/>
      <c r="E41" s="1204"/>
      <c r="F41" s="1204"/>
      <c r="G41" s="1235"/>
      <c r="H41" s="1705"/>
      <c r="I41" s="1705"/>
      <c r="J41" s="1237"/>
      <c r="K41" s="1302"/>
      <c r="L41" s="1238">
        <f t="shared" ref="L41:L42" si="2">ROUND(K41*H41,4)</f>
        <v>0</v>
      </c>
    </row>
    <row r="42" spans="1:12" s="1271" customFormat="1" ht="14.1" customHeight="1" x14ac:dyDescent="0.25">
      <c r="A42" s="1239"/>
      <c r="B42" s="1197"/>
      <c r="C42" s="1197"/>
      <c r="D42" s="1217"/>
      <c r="E42" s="1217"/>
      <c r="F42" s="1217"/>
      <c r="G42" s="1240"/>
      <c r="H42" s="1706"/>
      <c r="I42" s="1706"/>
      <c r="J42" s="1237"/>
      <c r="K42" s="1302"/>
      <c r="L42" s="1206">
        <f t="shared" si="2"/>
        <v>0</v>
      </c>
    </row>
    <row r="43" spans="1:12" s="1271" customFormat="1" ht="14.1" customHeight="1" x14ac:dyDescent="0.25">
      <c r="A43" s="1707" t="s">
        <v>491</v>
      </c>
      <c r="B43" s="1707"/>
      <c r="C43" s="1707"/>
      <c r="D43" s="1707"/>
      <c r="E43" s="1707"/>
      <c r="F43" s="1707"/>
      <c r="G43" s="1707"/>
      <c r="H43" s="1707"/>
      <c r="I43" s="1707"/>
      <c r="J43" s="1707"/>
      <c r="K43" s="1707"/>
      <c r="L43" s="1230">
        <f>ROUND(SUM(L41:L42),4)</f>
        <v>0</v>
      </c>
    </row>
    <row r="44" spans="1:12" s="1272" customFormat="1" ht="3" customHeight="1" x14ac:dyDescent="0.25">
      <c r="A44" s="1241"/>
      <c r="B44" s="1241"/>
      <c r="C44" s="1241"/>
      <c r="D44" s="1241"/>
      <c r="E44" s="1241"/>
      <c r="F44" s="1241"/>
      <c r="G44" s="1241"/>
      <c r="H44" s="1241"/>
      <c r="I44" s="1241"/>
      <c r="J44" s="710"/>
      <c r="K44" s="1242"/>
      <c r="L44" s="1243"/>
    </row>
    <row r="45" spans="1:12" s="1271" customFormat="1" ht="9.4499999999999993" customHeight="1" x14ac:dyDescent="0.25">
      <c r="A45" s="1696" t="s">
        <v>492</v>
      </c>
      <c r="B45" s="1696"/>
      <c r="C45" s="1696"/>
      <c r="D45" s="1696"/>
      <c r="E45" s="1696"/>
      <c r="F45" s="1696"/>
      <c r="G45" s="1703" t="s">
        <v>493</v>
      </c>
      <c r="H45" s="1697" t="s">
        <v>494</v>
      </c>
      <c r="I45" s="1697"/>
      <c r="J45" s="1697"/>
      <c r="K45" s="1697"/>
      <c r="L45" s="1697" t="s">
        <v>495</v>
      </c>
    </row>
    <row r="46" spans="1:12" s="1271" customFormat="1" ht="14.1" customHeight="1" x14ac:dyDescent="0.25">
      <c r="A46" s="1696"/>
      <c r="B46" s="1696"/>
      <c r="C46" s="1696"/>
      <c r="D46" s="1696"/>
      <c r="E46" s="1696"/>
      <c r="F46" s="1696"/>
      <c r="G46" s="1703"/>
      <c r="H46" s="1211" t="s">
        <v>110</v>
      </c>
      <c r="I46" s="1218" t="s">
        <v>302</v>
      </c>
      <c r="J46" s="1194" t="s">
        <v>305</v>
      </c>
      <c r="K46" s="1233" t="s">
        <v>307</v>
      </c>
      <c r="L46" s="1697"/>
    </row>
    <row r="47" spans="1:12" s="1271" customFormat="1" ht="14.1" customHeight="1" x14ac:dyDescent="0.25">
      <c r="A47" s="1696"/>
      <c r="B47" s="1696"/>
      <c r="C47" s="1696"/>
      <c r="D47" s="1696"/>
      <c r="E47" s="1696"/>
      <c r="F47" s="1696"/>
      <c r="G47" s="1703"/>
      <c r="H47" s="1191" t="s">
        <v>496</v>
      </c>
      <c r="I47" s="1244"/>
      <c r="J47" s="1244"/>
      <c r="K47" s="1244"/>
      <c r="L47" s="1697"/>
    </row>
    <row r="48" spans="1:12" s="1271" customFormat="1" ht="14.1" customHeight="1" x14ac:dyDescent="0.25">
      <c r="A48" s="1709"/>
      <c r="B48" s="1710"/>
      <c r="C48" s="1711"/>
      <c r="D48" s="1712"/>
      <c r="E48" s="1712"/>
      <c r="F48" s="1713"/>
      <c r="G48" s="1714">
        <f>ROUND(H41/1000,5)</f>
        <v>0</v>
      </c>
      <c r="H48" s="1245" t="s">
        <v>497</v>
      </c>
      <c r="I48" s="1246"/>
      <c r="J48" s="1246"/>
      <c r="K48" s="1246"/>
      <c r="L48" s="1715">
        <f>ROUND(G48*($I$47*I49+$J$47*J49+$K$47*K49),4)</f>
        <v>0</v>
      </c>
    </row>
    <row r="49" spans="1:12" s="1271" customFormat="1" ht="14.1" customHeight="1" x14ac:dyDescent="0.25">
      <c r="A49" s="1709"/>
      <c r="B49" s="1710"/>
      <c r="C49" s="1711"/>
      <c r="D49" s="1712"/>
      <c r="E49" s="1712"/>
      <c r="F49" s="1713"/>
      <c r="G49" s="1714"/>
      <c r="H49" s="1247" t="s">
        <v>498</v>
      </c>
      <c r="I49" s="1248"/>
      <c r="J49" s="1248"/>
      <c r="K49" s="1248"/>
      <c r="L49" s="1715"/>
    </row>
    <row r="50" spans="1:12" s="1271" customFormat="1" ht="14.1" customHeight="1" x14ac:dyDescent="0.25">
      <c r="A50" s="1195"/>
      <c r="B50" s="1284"/>
      <c r="C50" s="1197"/>
      <c r="D50" s="1285"/>
      <c r="E50" s="1285"/>
      <c r="F50" s="1286"/>
      <c r="G50" s="1199"/>
      <c r="H50" s="1287"/>
      <c r="I50" s="1288"/>
      <c r="J50" s="1201"/>
      <c r="K50" s="1200"/>
      <c r="L50" s="1289"/>
    </row>
    <row r="51" spans="1:12" s="1271" customFormat="1" ht="14.1" customHeight="1" x14ac:dyDescent="0.25">
      <c r="A51" s="1239"/>
      <c r="B51" s="1197"/>
      <c r="C51" s="1197"/>
      <c r="D51" s="1217"/>
      <c r="E51" s="1217"/>
      <c r="F51" s="1217"/>
      <c r="G51" s="1205"/>
      <c r="H51" s="1250"/>
      <c r="I51" s="1250"/>
      <c r="J51" s="1251"/>
      <c r="K51" s="1252"/>
      <c r="L51" s="1202"/>
    </row>
    <row r="52" spans="1:12" s="1271" customFormat="1" ht="14.1" customHeight="1" x14ac:dyDescent="0.25">
      <c r="A52" s="1707" t="s">
        <v>499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253">
        <f>ROUND(SUM(L48:L51),4)</f>
        <v>0</v>
      </c>
    </row>
    <row r="53" spans="1:12" s="1271" customFormat="1" ht="3" customHeight="1" x14ac:dyDescent="0.25">
      <c r="A53" s="1254"/>
      <c r="B53" s="1254"/>
      <c r="C53" s="1254"/>
      <c r="D53" s="1254"/>
      <c r="E53" s="1254"/>
      <c r="F53" s="1254"/>
      <c r="G53" s="1241"/>
      <c r="H53" s="1255"/>
      <c r="I53" s="1255"/>
      <c r="J53" s="1256"/>
      <c r="K53" s="1257"/>
      <c r="L53" s="1348"/>
    </row>
    <row r="54" spans="1:12" s="1271" customFormat="1" ht="15" customHeight="1" x14ac:dyDescent="0.25">
      <c r="A54" s="1707" t="s">
        <v>448</v>
      </c>
      <c r="B54" s="1707"/>
      <c r="C54" s="1707"/>
      <c r="D54" s="1707"/>
      <c r="E54" s="1707"/>
      <c r="F54" s="1707"/>
      <c r="G54" s="1707"/>
      <c r="H54" s="1707"/>
      <c r="I54" s="1707"/>
      <c r="J54" s="1707"/>
      <c r="K54" s="1707"/>
      <c r="L54" s="1253">
        <f>ROUND(L37+L43+L52,4)</f>
        <v>0.35570000000000002</v>
      </c>
    </row>
    <row r="55" spans="1:12" s="1271" customFormat="1" ht="15" customHeight="1" x14ac:dyDescent="0.25">
      <c r="A55" s="1716" t="s">
        <v>449</v>
      </c>
      <c r="B55" s="1716"/>
      <c r="C55" s="1716"/>
      <c r="D55" s="1716"/>
      <c r="E55" s="1716"/>
      <c r="F55" s="1716"/>
      <c r="G55" s="1716"/>
      <c r="H55" s="1716"/>
      <c r="I55" s="1716"/>
      <c r="J55" s="1716"/>
      <c r="K55" s="1259">
        <f>[1]LDI!I34</f>
        <v>0.25569999999999998</v>
      </c>
      <c r="L55" s="1298">
        <f>ROUND(L54*K55,4)</f>
        <v>9.0999999999999998E-2</v>
      </c>
    </row>
    <row r="56" spans="1:12" s="1271" customFormat="1" ht="20.100000000000001" customHeight="1" x14ac:dyDescent="0.25">
      <c r="A56" s="1704" t="s">
        <v>450</v>
      </c>
      <c r="B56" s="1704"/>
      <c r="C56" s="1704"/>
      <c r="D56" s="1704"/>
      <c r="E56" s="1704"/>
      <c r="F56" s="1704"/>
      <c r="G56" s="1704"/>
      <c r="H56" s="1704"/>
      <c r="I56" s="1704"/>
      <c r="J56" s="1704"/>
      <c r="K56" s="1704"/>
      <c r="L56" s="1260">
        <f>ROUND(L54+L55,2)</f>
        <v>0.45</v>
      </c>
    </row>
    <row r="57" spans="1:12" s="1271" customFormat="1" ht="3" customHeight="1" x14ac:dyDescent="0.25">
      <c r="A57" s="1261"/>
      <c r="B57" s="1261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</row>
    <row r="58" spans="1:12" s="1271" customFormat="1" ht="24.9" customHeight="1" x14ac:dyDescent="0.25">
      <c r="A58" s="1262" t="s">
        <v>451</v>
      </c>
      <c r="B58" s="1263"/>
      <c r="C58" s="1717" t="s">
        <v>705</v>
      </c>
      <c r="D58" s="1717"/>
      <c r="E58" s="1717"/>
      <c r="F58" s="1717"/>
      <c r="G58" s="1717"/>
      <c r="H58" s="1717"/>
      <c r="I58" s="1717"/>
      <c r="J58" s="1717"/>
      <c r="K58" s="1717"/>
      <c r="L58" s="1717"/>
    </row>
    <row r="59" spans="1:12" s="1271" customFormat="1" ht="21.75" customHeight="1" x14ac:dyDescent="0.25">
      <c r="A59" s="1264"/>
      <c r="B59" s="1265"/>
      <c r="C59" s="1708" t="s">
        <v>507</v>
      </c>
      <c r="D59" s="1708"/>
      <c r="E59" s="1708"/>
      <c r="F59" s="1708"/>
      <c r="G59" s="1708"/>
      <c r="H59" s="1708"/>
      <c r="I59" s="1708"/>
      <c r="J59" s="1708"/>
      <c r="K59" s="1708"/>
      <c r="L59" s="1708"/>
    </row>
    <row r="60" spans="1:12" s="1271" customFormat="1" ht="20.25" customHeight="1" x14ac:dyDescent="0.25">
      <c r="A60" s="1483"/>
      <c r="B60" s="1303"/>
      <c r="C60" s="1303"/>
      <c r="D60" s="1303"/>
      <c r="E60" s="1303"/>
      <c r="F60" s="1303"/>
      <c r="G60" s="1303"/>
      <c r="H60" s="1303"/>
      <c r="I60" s="1303"/>
      <c r="J60" s="1303"/>
      <c r="K60" s="1303"/>
      <c r="L60" s="1304"/>
    </row>
    <row r="67" ht="7.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47">
    <mergeCell ref="C59:L59"/>
    <mergeCell ref="L45:L47"/>
    <mergeCell ref="A48:A49"/>
    <mergeCell ref="B48:B49"/>
    <mergeCell ref="C48:C49"/>
    <mergeCell ref="D48:E49"/>
    <mergeCell ref="F48:F49"/>
    <mergeCell ref="G48:G49"/>
    <mergeCell ref="L48:L49"/>
    <mergeCell ref="A52:K52"/>
    <mergeCell ref="A54:K54"/>
    <mergeCell ref="A55:J55"/>
    <mergeCell ref="A56:K56"/>
    <mergeCell ref="C58:L58"/>
    <mergeCell ref="H41:I41"/>
    <mergeCell ref="H42:I42"/>
    <mergeCell ref="A43:K43"/>
    <mergeCell ref="A45:F47"/>
    <mergeCell ref="G45:G47"/>
    <mergeCell ref="H45:K45"/>
    <mergeCell ref="A30:K30"/>
    <mergeCell ref="A37:H37"/>
    <mergeCell ref="I37:K37"/>
    <mergeCell ref="A39:G40"/>
    <mergeCell ref="H39:I40"/>
    <mergeCell ref="J39:J40"/>
    <mergeCell ref="D27:I27"/>
    <mergeCell ref="A8:L8"/>
    <mergeCell ref="A10:D10"/>
    <mergeCell ref="E10:L10"/>
    <mergeCell ref="A13:L14"/>
    <mergeCell ref="E16:J16"/>
    <mergeCell ref="A18:F19"/>
    <mergeCell ref="G18:G19"/>
    <mergeCell ref="H18:I18"/>
    <mergeCell ref="J18:K18"/>
    <mergeCell ref="D21:F21"/>
    <mergeCell ref="A23:K23"/>
    <mergeCell ref="A25:I26"/>
    <mergeCell ref="J25:J26"/>
    <mergeCell ref="K25:K26"/>
    <mergeCell ref="A1:L1"/>
    <mergeCell ref="A2:L2"/>
    <mergeCell ref="A3:K3"/>
    <mergeCell ref="A4:K4"/>
    <mergeCell ref="A5:K5"/>
    <mergeCell ref="L5:L6"/>
  </mergeCells>
  <dataValidations count="1">
    <dataValidation allowBlank="1" showInputMessage="1" showErrorMessage="1" prompt="Clique duas vezes sobre o número do item para ser direcionado à Planilha Orçamentária." sqref="D16" xr:uid="{00000000-0002-0000-24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65536"/>
  <sheetViews>
    <sheetView view="pageBreakPreview" zoomScale="80" zoomScaleNormal="80" zoomScaleSheetLayoutView="80" workbookViewId="0">
      <selection activeCell="A17" sqref="A17:K21"/>
    </sheetView>
  </sheetViews>
  <sheetFormatPr defaultColWidth="9.21875" defaultRowHeight="15" customHeight="1" x14ac:dyDescent="0.2"/>
  <cols>
    <col min="1" max="1" width="7.6640625" style="713" customWidth="1"/>
    <col min="2" max="2" width="8.6640625" style="713" customWidth="1"/>
    <col min="3" max="3" width="1.77734375" style="713" customWidth="1"/>
    <col min="4" max="4" width="3.77734375" style="713" customWidth="1"/>
    <col min="5" max="5" width="23.77734375" style="713" customWidth="1"/>
    <col min="6" max="6" width="12.6640625" style="713" customWidth="1"/>
    <col min="7" max="7" width="8.77734375" style="713" customWidth="1"/>
    <col min="8" max="8" width="10.6640625" style="713" customWidth="1"/>
    <col min="9" max="11" width="8.77734375" style="713" customWidth="1"/>
    <col min="12" max="12" width="11.44140625" style="713" customWidth="1"/>
    <col min="13" max="16384" width="9.21875" style="713"/>
  </cols>
  <sheetData>
    <row r="1" spans="1:12" ht="15" customHeight="1" x14ac:dyDescent="0.3">
      <c r="A1" s="1688" t="str">
        <f>'[1]Planilha orçamentária'!E4</f>
        <v>PROJETO BÁSICO DE ENGENHARIA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2" ht="8.25" customHeight="1" x14ac:dyDescent="0.2">
      <c r="A2" s="1724"/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</row>
    <row r="3" spans="1:12" ht="18" customHeight="1" x14ac:dyDescent="0.25">
      <c r="A3" s="1828" t="str">
        <f>'9.1'!A3:K3</f>
        <v>J J BORGES DE OLIVEIRA EIRELI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170" t="s">
        <v>411</v>
      </c>
    </row>
    <row r="4" spans="1:12" ht="12" customHeight="1" x14ac:dyDescent="0.25">
      <c r="A4" s="1830" t="str">
        <f>'9.1'!A4:K4</f>
        <v>20.129.307/0001-02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171"/>
    </row>
    <row r="5" spans="1:12" ht="8.25" customHeight="1" x14ac:dyDescent="0.2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690"/>
      <c r="L5" s="1691" t="s">
        <v>706</v>
      </c>
    </row>
    <row r="6" spans="1:12" ht="5.0999999999999996" customHeight="1" x14ac:dyDescent="0.2">
      <c r="A6" s="1172"/>
      <c r="B6" s="1173"/>
      <c r="C6" s="1174"/>
      <c r="D6" s="1175"/>
      <c r="E6" s="1176"/>
      <c r="F6" s="1174"/>
      <c r="G6" s="1174"/>
      <c r="H6" s="1174"/>
      <c r="I6" s="1174"/>
      <c r="J6" s="1174"/>
      <c r="K6" s="1177"/>
      <c r="L6" s="1691"/>
    </row>
    <row r="7" spans="1:12" ht="5.0999999999999996" customHeight="1" x14ac:dyDescent="0.2">
      <c r="A7" s="710"/>
      <c r="B7" s="710"/>
      <c r="C7" s="352"/>
      <c r="D7" s="353"/>
      <c r="E7" s="353"/>
      <c r="F7" s="709"/>
      <c r="G7" s="709"/>
      <c r="H7" s="709"/>
      <c r="I7" s="709"/>
      <c r="J7" s="709"/>
      <c r="K7" s="709"/>
      <c r="L7" s="1178"/>
    </row>
    <row r="8" spans="1:12" ht="8.25" customHeight="1" x14ac:dyDescent="0.2">
      <c r="A8" s="1692"/>
      <c r="B8" s="1692"/>
      <c r="C8" s="1692"/>
      <c r="D8" s="1692"/>
      <c r="E8" s="1692"/>
      <c r="F8" s="1692"/>
      <c r="G8" s="1692"/>
      <c r="H8" s="1692"/>
      <c r="I8" s="1692"/>
      <c r="J8" s="1692"/>
      <c r="K8" s="1692"/>
      <c r="L8" s="1692"/>
    </row>
    <row r="9" spans="1:12" ht="12.45" customHeight="1" x14ac:dyDescent="0.2">
      <c r="A9" s="1693" t="s">
        <v>413</v>
      </c>
      <c r="B9" s="1693"/>
      <c r="C9" s="1693"/>
      <c r="D9" s="1693"/>
      <c r="E9" s="1737" t="str">
        <f>'[1]Planilha orçamentária'!E9</f>
        <v>Construção / Recuperação e complementação de estradas vicinais</v>
      </c>
      <c r="F9" s="1737"/>
      <c r="G9" s="1737"/>
      <c r="H9" s="1737"/>
      <c r="I9" s="1737"/>
      <c r="J9" s="1737"/>
      <c r="K9" s="1737"/>
      <c r="L9" s="1737"/>
    </row>
    <row r="10" spans="1:12" ht="5.0999999999999996" customHeight="1" x14ac:dyDescent="0.2">
      <c r="A10" s="1182"/>
      <c r="B10" s="1175"/>
      <c r="C10" s="1183"/>
      <c r="D10" s="1175"/>
      <c r="E10" s="1175"/>
      <c r="F10" s="1174"/>
      <c r="G10" s="1174"/>
      <c r="H10" s="1174"/>
      <c r="I10" s="1174"/>
      <c r="J10" s="1174"/>
      <c r="K10" s="1174"/>
      <c r="L10" s="1184"/>
    </row>
    <row r="11" spans="1:12" ht="5.0999999999999996" customHeight="1" x14ac:dyDescent="0.2">
      <c r="A11" s="709"/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1178"/>
    </row>
    <row r="12" spans="1:12" ht="9.15" customHeight="1" x14ac:dyDescent="0.2">
      <c r="A12" s="1694" t="s">
        <v>414</v>
      </c>
      <c r="B12" s="1694"/>
      <c r="C12" s="1694"/>
      <c r="D12" s="1694"/>
      <c r="E12" s="1694"/>
      <c r="F12" s="1694"/>
      <c r="G12" s="1694"/>
      <c r="H12" s="1694"/>
      <c r="I12" s="1694"/>
      <c r="J12" s="1694"/>
      <c r="K12" s="1694"/>
      <c r="L12" s="1694"/>
    </row>
    <row r="13" spans="1:12" ht="15" customHeight="1" x14ac:dyDescent="0.2">
      <c r="A13" s="1694"/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L13" s="1694"/>
    </row>
    <row r="14" spans="1:12" ht="3" hidden="1" customHeight="1" x14ac:dyDescent="0.2">
      <c r="A14" s="1185"/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</row>
    <row r="15" spans="1:12" s="1271" customFormat="1" ht="24.9" customHeight="1" x14ac:dyDescent="0.25">
      <c r="A15" s="1186" t="s">
        <v>415</v>
      </c>
      <c r="B15" s="1187"/>
      <c r="C15" s="1187"/>
      <c r="D15" s="1188" t="str">
        <f>'[1]Planilha orçamentária'!B158</f>
        <v>9.2</v>
      </c>
      <c r="E15" s="1695" t="s">
        <v>707</v>
      </c>
      <c r="F15" s="1695"/>
      <c r="G15" s="1695"/>
      <c r="H15" s="1695"/>
      <c r="I15" s="1695"/>
      <c r="J15" s="1695"/>
      <c r="K15" s="1189" t="s">
        <v>417</v>
      </c>
      <c r="L15" s="1190" t="s">
        <v>504</v>
      </c>
    </row>
    <row r="16" spans="1:12" s="1272" customFormat="1" ht="3" customHeight="1" x14ac:dyDescent="0.25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</row>
    <row r="17" spans="1:14" s="1271" customFormat="1" ht="14.1" customHeight="1" x14ac:dyDescent="0.25">
      <c r="A17" s="1696" t="s">
        <v>426</v>
      </c>
      <c r="B17" s="1696"/>
      <c r="C17" s="1696"/>
      <c r="D17" s="1696"/>
      <c r="E17" s="1696"/>
      <c r="F17" s="1696"/>
      <c r="G17" s="1697" t="s">
        <v>164</v>
      </c>
      <c r="H17" s="1697" t="s">
        <v>284</v>
      </c>
      <c r="I17" s="1697"/>
      <c r="J17" s="1698" t="s">
        <v>471</v>
      </c>
      <c r="K17" s="1698"/>
      <c r="L17" s="1192" t="s">
        <v>472</v>
      </c>
    </row>
    <row r="18" spans="1:14" s="1271" customFormat="1" ht="14.1" customHeight="1" x14ac:dyDescent="0.25">
      <c r="A18" s="1696"/>
      <c r="B18" s="1696"/>
      <c r="C18" s="1696"/>
      <c r="D18" s="1696"/>
      <c r="E18" s="1696"/>
      <c r="F18" s="1696"/>
      <c r="G18" s="1697"/>
      <c r="H18" s="1191" t="s">
        <v>473</v>
      </c>
      <c r="I18" s="1193" t="s">
        <v>474</v>
      </c>
      <c r="J18" s="1191" t="s">
        <v>473</v>
      </c>
      <c r="K18" s="1193" t="s">
        <v>474</v>
      </c>
      <c r="L18" s="1194" t="s">
        <v>475</v>
      </c>
    </row>
    <row r="19" spans="1:14" s="1271" customFormat="1" ht="16.649999999999999" customHeight="1" x14ac:dyDescent="0.25">
      <c r="A19" s="1195" t="str">
        <f>'[1]Composições - Equipamentos'!A18</f>
        <v>DNIT –</v>
      </c>
      <c r="B19" s="1196" t="str">
        <f>'[1]Composições - Equipamentos'!B16</f>
        <v>E9502</v>
      </c>
      <c r="C19" s="1197" t="s">
        <v>434</v>
      </c>
      <c r="D19" s="1719" t="str">
        <f>'[1]Composições - Equipamentos'!C18</f>
        <v>Caminhão carroceria com capacidade de 9 t - 136 kW (Atego 1419 - Mercedes-Benz)</v>
      </c>
      <c r="E19" s="1719"/>
      <c r="F19" s="1719"/>
      <c r="G19" s="1199">
        <v>1</v>
      </c>
      <c r="H19" s="1200">
        <v>0.5</v>
      </c>
      <c r="I19" s="1201">
        <v>0.5</v>
      </c>
      <c r="J19" s="1289">
        <f>'[1]Composições - Equipamentos'!S18</f>
        <v>159.31229999999999</v>
      </c>
      <c r="K19" s="1289">
        <f>'[1]Composições - Equipamentos'!T18</f>
        <v>52.926499999999997</v>
      </c>
      <c r="L19" s="1289">
        <f>(G19*H19*J19)+(G19*I19*K19)</f>
        <v>106.1194</v>
      </c>
    </row>
    <row r="20" spans="1:14" s="1271" customFormat="1" ht="14.1" customHeight="1" x14ac:dyDescent="0.25">
      <c r="A20" s="1203"/>
      <c r="B20" s="1204"/>
      <c r="C20" s="1197"/>
      <c r="D20" s="1204"/>
      <c r="E20" s="1204"/>
      <c r="F20" s="1204"/>
      <c r="G20" s="1205"/>
      <c r="H20" s="1200"/>
      <c r="I20" s="1201"/>
      <c r="J20" s="1301"/>
      <c r="K20" s="1300"/>
      <c r="L20" s="1289"/>
    </row>
    <row r="21" spans="1:14" s="1271" customFormat="1" ht="14.1" customHeight="1" x14ac:dyDescent="0.25">
      <c r="A21" s="1702" t="s">
        <v>476</v>
      </c>
      <c r="B21" s="1702"/>
      <c r="C21" s="1702"/>
      <c r="D21" s="1702"/>
      <c r="E21" s="1702"/>
      <c r="F21" s="1702"/>
      <c r="G21" s="1702"/>
      <c r="H21" s="1702"/>
      <c r="I21" s="1702"/>
      <c r="J21" s="1702"/>
      <c r="K21" s="1702"/>
      <c r="L21" s="1208">
        <f>ROUND(SUM(L19:L20),4)</f>
        <v>106.1194</v>
      </c>
    </row>
    <row r="22" spans="1:14" s="1271" customFormat="1" ht="3" customHeight="1" x14ac:dyDescent="0.25">
      <c r="A22" s="1209"/>
      <c r="B22" s="1209"/>
      <c r="C22" s="1209"/>
      <c r="D22" s="1209"/>
      <c r="E22" s="1209"/>
      <c r="F22" s="1209"/>
      <c r="G22" s="1209"/>
      <c r="H22" s="1210"/>
      <c r="I22" s="1210"/>
      <c r="J22" s="1210"/>
      <c r="K22" s="1210"/>
      <c r="L22" s="1210"/>
    </row>
    <row r="23" spans="1:14" s="1271" customFormat="1" ht="9.9" customHeight="1" x14ac:dyDescent="0.25">
      <c r="A23" s="1696" t="s">
        <v>439</v>
      </c>
      <c r="B23" s="1696"/>
      <c r="C23" s="1696"/>
      <c r="D23" s="1696"/>
      <c r="E23" s="1696"/>
      <c r="F23" s="1696"/>
      <c r="G23" s="1696"/>
      <c r="H23" s="1696"/>
      <c r="I23" s="1696"/>
      <c r="J23" s="1697" t="s">
        <v>164</v>
      </c>
      <c r="K23" s="1703" t="s">
        <v>477</v>
      </c>
      <c r="L23" s="1192" t="s">
        <v>441</v>
      </c>
    </row>
    <row r="24" spans="1:14" s="1271" customFormat="1" ht="14.1" customHeight="1" x14ac:dyDescent="0.25">
      <c r="A24" s="1696"/>
      <c r="B24" s="1696"/>
      <c r="C24" s="1696"/>
      <c r="D24" s="1696"/>
      <c r="E24" s="1696"/>
      <c r="F24" s="1696"/>
      <c r="G24" s="1696"/>
      <c r="H24" s="1696"/>
      <c r="I24" s="1696"/>
      <c r="J24" s="1697"/>
      <c r="K24" s="1703"/>
      <c r="L24" s="1194" t="s">
        <v>475</v>
      </c>
    </row>
    <row r="25" spans="1:14" s="1271" customFormat="1" ht="14.1" customHeight="1" x14ac:dyDescent="0.25">
      <c r="A25" s="1195" t="str">
        <f>'[1]Atualização de custos unitarios'!A84</f>
        <v>DNIT –</v>
      </c>
      <c r="B25" s="1196" t="str">
        <f>'[1]Atualização de custos unitarios'!B84</f>
        <v>P9824</v>
      </c>
      <c r="C25" s="1197" t="s">
        <v>434</v>
      </c>
      <c r="D25" s="1699" t="str">
        <f>'[1]Atualização de custos unitarios'!C84</f>
        <v>Servente</v>
      </c>
      <c r="E25" s="1699"/>
      <c r="F25" s="1699"/>
      <c r="G25" s="1699"/>
      <c r="H25" s="1699"/>
      <c r="I25" s="1699"/>
      <c r="J25" s="1213">
        <v>8</v>
      </c>
      <c r="K25" s="1302">
        <f>'1.1'!G100</f>
        <v>14.981199999999999</v>
      </c>
      <c r="L25" s="1215">
        <f t="shared" ref="L25:L26" si="0">J25*K25</f>
        <v>119.8496</v>
      </c>
      <c r="N25" s="1274"/>
    </row>
    <row r="26" spans="1:14" s="1271" customFormat="1" ht="9.15" customHeight="1" x14ac:dyDescent="0.25">
      <c r="A26" s="1216"/>
      <c r="B26" s="1217"/>
      <c r="C26" s="1217"/>
      <c r="D26" s="1217"/>
      <c r="E26" s="1217"/>
      <c r="F26" s="1217"/>
      <c r="G26" s="1173"/>
      <c r="H26" s="1193"/>
      <c r="I26" s="1218"/>
      <c r="J26" s="1219"/>
      <c r="K26" s="1302"/>
      <c r="L26" s="1215">
        <f t="shared" si="0"/>
        <v>0</v>
      </c>
    </row>
    <row r="27" spans="1:14" s="1271" customFormat="1" ht="14.1" customHeight="1" x14ac:dyDescent="0.25">
      <c r="A27" s="1702" t="s">
        <v>478</v>
      </c>
      <c r="B27" s="1702"/>
      <c r="C27" s="1702"/>
      <c r="D27" s="1702"/>
      <c r="E27" s="1702"/>
      <c r="F27" s="1702"/>
      <c r="G27" s="1702"/>
      <c r="H27" s="1702"/>
      <c r="I27" s="1702"/>
      <c r="J27" s="1702"/>
      <c r="K27" s="1702"/>
      <c r="L27" s="1208">
        <f>ROUND(SUM(L25:L26),4)</f>
        <v>119.8496</v>
      </c>
    </row>
    <row r="28" spans="1:14" s="1272" customFormat="1" ht="3" customHeight="1" x14ac:dyDescent="0.25">
      <c r="A28" s="1209"/>
      <c r="B28" s="1209"/>
      <c r="C28" s="1209"/>
      <c r="D28" s="1209"/>
      <c r="E28" s="1209"/>
      <c r="F28" s="1209"/>
      <c r="G28" s="1209"/>
      <c r="H28" s="1209"/>
      <c r="I28" s="1209"/>
      <c r="J28" s="1210"/>
      <c r="K28" s="1210"/>
      <c r="L28" s="1229"/>
    </row>
    <row r="29" spans="1:14" s="1272" customFormat="1" ht="14.1" customHeight="1" x14ac:dyDescent="0.25">
      <c r="A29" s="1209"/>
      <c r="B29" s="1209"/>
      <c r="C29" s="1209"/>
      <c r="D29" s="1209"/>
      <c r="E29" s="1209"/>
      <c r="F29" s="1209"/>
      <c r="G29" s="1209"/>
      <c r="H29" s="1209"/>
      <c r="I29" s="1209"/>
      <c r="J29" s="1210"/>
      <c r="K29" s="1220" t="s">
        <v>479</v>
      </c>
      <c r="L29" s="1221">
        <f>L21+L27</f>
        <v>225.96899999999999</v>
      </c>
    </row>
    <row r="30" spans="1:14" s="1272" customFormat="1" ht="14.1" customHeight="1" x14ac:dyDescent="0.25">
      <c r="A30" s="1222" t="s">
        <v>480</v>
      </c>
      <c r="B30" s="1209"/>
      <c r="C30" s="1209"/>
      <c r="D30" s="1209"/>
      <c r="E30" s="1209"/>
      <c r="F30" s="1223">
        <v>415</v>
      </c>
      <c r="G30" s="1276" t="str">
        <f>L15</f>
        <v>m²</v>
      </c>
      <c r="H30" s="1222"/>
      <c r="I30" s="1209"/>
      <c r="J30" s="1225"/>
      <c r="K30" s="1226" t="s">
        <v>481</v>
      </c>
      <c r="L30" s="1208">
        <f>ROUND(L29/F30,4)</f>
        <v>0.54449999999999998</v>
      </c>
    </row>
    <row r="31" spans="1:14" s="1272" customFormat="1" ht="14.1" customHeight="1" x14ac:dyDescent="0.25">
      <c r="A31" s="1222"/>
      <c r="B31" s="1209" t="s">
        <v>482</v>
      </c>
      <c r="C31" s="1209"/>
      <c r="D31" s="1209"/>
      <c r="E31" s="1209"/>
      <c r="F31" s="1223"/>
      <c r="G31" s="1224"/>
      <c r="H31" s="1222"/>
      <c r="I31" s="1209"/>
      <c r="J31" s="1225"/>
      <c r="K31" s="1220" t="s">
        <v>483</v>
      </c>
      <c r="L31" s="1208">
        <f>ROUND(L30*F31,4)</f>
        <v>0</v>
      </c>
    </row>
    <row r="32" spans="1:14" s="1272" customFormat="1" ht="14.1" customHeight="1" x14ac:dyDescent="0.25">
      <c r="A32" s="1222"/>
      <c r="B32" s="1209" t="s">
        <v>484</v>
      </c>
      <c r="C32" s="1209"/>
      <c r="D32" s="1209"/>
      <c r="E32" s="1209"/>
      <c r="F32" s="1227"/>
      <c r="G32" s="1224"/>
      <c r="H32" s="1225"/>
      <c r="I32" s="1228"/>
      <c r="J32" s="1210"/>
      <c r="K32" s="1220" t="s">
        <v>485</v>
      </c>
      <c r="L32" s="1208">
        <f>L30*F32</f>
        <v>0</v>
      </c>
    </row>
    <row r="33" spans="1:15" s="1272" customFormat="1" ht="3" customHeight="1" x14ac:dyDescent="0.25">
      <c r="A33" s="1209"/>
      <c r="B33" s="1209"/>
      <c r="C33" s="1209"/>
      <c r="D33" s="1209"/>
      <c r="E33" s="1209"/>
      <c r="F33" s="1209"/>
      <c r="G33" s="1209"/>
      <c r="H33" s="1209"/>
      <c r="I33" s="1209"/>
      <c r="J33" s="1210"/>
      <c r="K33" s="1210"/>
      <c r="L33" s="1229"/>
    </row>
    <row r="34" spans="1:15" s="1271" customFormat="1" ht="14.1" customHeight="1" x14ac:dyDescent="0.25">
      <c r="A34" s="1696" t="s">
        <v>486</v>
      </c>
      <c r="B34" s="1696"/>
      <c r="C34" s="1696"/>
      <c r="D34" s="1696"/>
      <c r="E34" s="1696"/>
      <c r="F34" s="1696"/>
      <c r="G34" s="1696"/>
      <c r="H34" s="1696"/>
      <c r="I34" s="1704" t="s">
        <v>487</v>
      </c>
      <c r="J34" s="1704"/>
      <c r="K34" s="1704"/>
      <c r="L34" s="1230">
        <f>ROUND(SUM(L30:L33),4)</f>
        <v>0.54449999999999998</v>
      </c>
    </row>
    <row r="35" spans="1:15" s="1272" customFormat="1" ht="3" customHeight="1" x14ac:dyDescent="0.25">
      <c r="A35" s="710"/>
      <c r="B35" s="710"/>
      <c r="C35" s="710"/>
      <c r="D35" s="710"/>
      <c r="E35" s="710"/>
      <c r="F35" s="710"/>
      <c r="G35" s="1231"/>
      <c r="H35" s="1231"/>
      <c r="I35" s="1232"/>
      <c r="J35" s="1232"/>
      <c r="K35" s="1232"/>
      <c r="L35" s="710"/>
    </row>
    <row r="36" spans="1:15" s="1271" customFormat="1" ht="14.1" customHeight="1" x14ac:dyDescent="0.25">
      <c r="A36" s="1696" t="s">
        <v>488</v>
      </c>
      <c r="B36" s="1696"/>
      <c r="C36" s="1696"/>
      <c r="D36" s="1696"/>
      <c r="E36" s="1696"/>
      <c r="F36" s="1696"/>
      <c r="G36" s="1696"/>
      <c r="H36" s="1697" t="s">
        <v>164</v>
      </c>
      <c r="I36" s="1697"/>
      <c r="J36" s="1697" t="s">
        <v>163</v>
      </c>
      <c r="K36" s="1191" t="s">
        <v>489</v>
      </c>
      <c r="L36" s="1191" t="s">
        <v>472</v>
      </c>
      <c r="N36" s="1271">
        <v>0.1</v>
      </c>
    </row>
    <row r="37" spans="1:15" s="1271" customFormat="1" ht="14.1" customHeight="1" x14ac:dyDescent="0.25">
      <c r="A37" s="1696"/>
      <c r="B37" s="1696"/>
      <c r="C37" s="1696"/>
      <c r="D37" s="1696"/>
      <c r="E37" s="1696"/>
      <c r="F37" s="1696"/>
      <c r="G37" s="1696"/>
      <c r="H37" s="1697"/>
      <c r="I37" s="1697"/>
      <c r="J37" s="1697"/>
      <c r="K37" s="1484" t="s">
        <v>490</v>
      </c>
      <c r="L37" s="1191" t="s">
        <v>490</v>
      </c>
    </row>
    <row r="38" spans="1:15" s="1271" customFormat="1" ht="14.1" customHeight="1" x14ac:dyDescent="0.25">
      <c r="A38" s="1306" t="str">
        <f>'[1]Atualização de custos unitarios'!A129</f>
        <v>DNIT –</v>
      </c>
      <c r="B38" s="1307" t="str">
        <f>'[1]Atualização de custos unitarios'!B129</f>
        <v>M0217</v>
      </c>
      <c r="C38" s="1255" t="s">
        <v>434</v>
      </c>
      <c r="D38" s="1722" t="str">
        <f>'[1]Atualização de custos unitarios'!C129</f>
        <v>Enxofre</v>
      </c>
      <c r="E38" s="1722"/>
      <c r="F38" s="1722"/>
      <c r="G38" s="1722"/>
      <c r="H38" s="1777">
        <v>3.0000000000000001E-3</v>
      </c>
      <c r="I38" s="1777"/>
      <c r="J38" s="1473" t="str">
        <f>'[1]Atualização de custos unitarios'!D129</f>
        <v>kg</v>
      </c>
      <c r="K38" s="1337">
        <v>1.6187</v>
      </c>
      <c r="L38" s="1238">
        <f t="shared" ref="L38:L44" si="1">H38*K38</f>
        <v>4.8561000000000003E-3</v>
      </c>
      <c r="N38" s="1271">
        <v>1.7187000000000001</v>
      </c>
      <c r="O38" s="1271">
        <f>N38-$N$36</f>
        <v>1.6187</v>
      </c>
    </row>
    <row r="39" spans="1:15" s="1271" customFormat="1" ht="14.1" customHeight="1" x14ac:dyDescent="0.25">
      <c r="A39" s="1195" t="str">
        <f>'[1]Atualização de custos unitarios'!A130</f>
        <v>DNIT –</v>
      </c>
      <c r="B39" s="1196" t="str">
        <f>'[1]Atualização de custos unitarios'!B130</f>
        <v>M0218</v>
      </c>
      <c r="C39" s="1197" t="s">
        <v>434</v>
      </c>
      <c r="D39" s="1699" t="str">
        <f>'[1]Atualização de custos unitarios'!C130</f>
        <v>Adubo fósforo (30%)</v>
      </c>
      <c r="E39" s="1699"/>
      <c r="F39" s="1699"/>
      <c r="G39" s="1699"/>
      <c r="H39" s="1776">
        <v>5.0000000000000001E-3</v>
      </c>
      <c r="I39" s="1776"/>
      <c r="J39" s="1237" t="str">
        <f>'[1]Atualização de custos unitarios'!D130</f>
        <v>kg</v>
      </c>
      <c r="K39" s="1252">
        <v>1.3546</v>
      </c>
      <c r="L39" s="1202">
        <f t="shared" si="1"/>
        <v>6.7730000000000004E-3</v>
      </c>
      <c r="N39" s="1271">
        <v>1.4546000000000001</v>
      </c>
      <c r="O39" s="1271">
        <f t="shared" ref="O39:O44" si="2">N39-$N$36</f>
        <v>1.3546</v>
      </c>
    </row>
    <row r="40" spans="1:15" s="1271" customFormat="1" ht="14.1" customHeight="1" x14ac:dyDescent="0.25">
      <c r="A40" s="1195" t="str">
        <f>'[1]Atualização de custos unitarios'!A131</f>
        <v>DNIT –</v>
      </c>
      <c r="B40" s="1196" t="str">
        <f>'[1]Atualização de custos unitarios'!B131</f>
        <v>M0219</v>
      </c>
      <c r="C40" s="1197" t="s">
        <v>434</v>
      </c>
      <c r="D40" s="1699" t="str">
        <f>'[1]Atualização de custos unitarios'!C131</f>
        <v>Adubo potássio</v>
      </c>
      <c r="E40" s="1699"/>
      <c r="F40" s="1699"/>
      <c r="G40" s="1699"/>
      <c r="H40" s="1776">
        <v>2.5000000000000001E-2</v>
      </c>
      <c r="I40" s="1776"/>
      <c r="J40" s="1237" t="str">
        <f>'[1]Atualização de custos unitarios'!D131</f>
        <v>kg</v>
      </c>
      <c r="K40" s="1252">
        <v>1.9247000000000001</v>
      </c>
      <c r="L40" s="1202">
        <f t="shared" si="1"/>
        <v>4.8117500000000007E-2</v>
      </c>
      <c r="N40" s="1271">
        <v>2.0247000000000002</v>
      </c>
      <c r="O40" s="1271">
        <f t="shared" si="2"/>
        <v>1.9247000000000001</v>
      </c>
    </row>
    <row r="41" spans="1:15" s="1271" customFormat="1" ht="14.1" customHeight="1" x14ac:dyDescent="0.25">
      <c r="A41" s="1195" t="str">
        <f>'[1]Atualização de custos unitarios'!A132</f>
        <v>DNIT –</v>
      </c>
      <c r="B41" s="1196" t="str">
        <f>'[1]Atualização de custos unitarios'!B132</f>
        <v>M0220</v>
      </c>
      <c r="C41" s="1197" t="s">
        <v>434</v>
      </c>
      <c r="D41" s="1699" t="str">
        <f>'[1]Atualização de custos unitarios'!C132</f>
        <v>Adubo NPK</v>
      </c>
      <c r="E41" s="1699"/>
      <c r="F41" s="1699"/>
      <c r="G41" s="1699"/>
      <c r="H41" s="1776">
        <v>0.02</v>
      </c>
      <c r="I41" s="1776"/>
      <c r="J41" s="1237" t="str">
        <f>'[1]Atualização de custos unitarios'!D132</f>
        <v>kg</v>
      </c>
      <c r="K41" s="1252">
        <v>1.6839999999999999</v>
      </c>
      <c r="L41" s="1202">
        <f t="shared" si="1"/>
        <v>3.3680000000000002E-2</v>
      </c>
      <c r="N41" s="1271">
        <v>1.784</v>
      </c>
      <c r="O41" s="1271">
        <f t="shared" si="2"/>
        <v>1.6839999999999999</v>
      </c>
    </row>
    <row r="42" spans="1:15" s="1271" customFormat="1" ht="14.1" customHeight="1" x14ac:dyDescent="0.25">
      <c r="A42" s="1195" t="str">
        <f>'[1]Atualização de custos unitarios'!A133</f>
        <v>DNIT –</v>
      </c>
      <c r="B42" s="1196" t="str">
        <f>'[1]Atualização de custos unitarios'!B133</f>
        <v>M0223</v>
      </c>
      <c r="C42" s="1197" t="s">
        <v>434</v>
      </c>
      <c r="D42" s="1699" t="str">
        <f>'[1]Atualização de custos unitarios'!C133</f>
        <v>Sementes para hidrossemeadura</v>
      </c>
      <c r="E42" s="1699"/>
      <c r="F42" s="1699"/>
      <c r="G42" s="1699"/>
      <c r="H42" s="1776">
        <v>2.5000000000000001E-2</v>
      </c>
      <c r="I42" s="1776"/>
      <c r="J42" s="1237" t="str">
        <f>'[1]Atualização de custos unitarios'!D133</f>
        <v>kg</v>
      </c>
      <c r="K42" s="1252">
        <v>19.799999999999997</v>
      </c>
      <c r="L42" s="1202">
        <f t="shared" si="1"/>
        <v>0.49499999999999994</v>
      </c>
      <c r="N42" s="1271">
        <v>19.899999999999999</v>
      </c>
      <c r="O42" s="1271">
        <f t="shared" si="2"/>
        <v>19.799999999999997</v>
      </c>
    </row>
    <row r="43" spans="1:15" s="1271" customFormat="1" ht="14.1" customHeight="1" x14ac:dyDescent="0.25">
      <c r="A43" s="1195" t="str">
        <f>'[1]Atualização de custos unitarios'!A134</f>
        <v>DNIT –</v>
      </c>
      <c r="B43" s="1196" t="str">
        <f>'[1]Atualização de custos unitarios'!B134</f>
        <v>M0225</v>
      </c>
      <c r="C43" s="1197" t="s">
        <v>434</v>
      </c>
      <c r="D43" s="1699" t="str">
        <f>'[1]Atualização de custos unitarios'!C134</f>
        <v>Adubo orgânico</v>
      </c>
      <c r="E43" s="1699"/>
      <c r="F43" s="1699"/>
      <c r="G43" s="1699"/>
      <c r="H43" s="1776">
        <v>0.2</v>
      </c>
      <c r="I43" s="1776"/>
      <c r="J43" s="1237" t="str">
        <f>'[1]Atualização de custos unitarios'!D134</f>
        <v>kg</v>
      </c>
      <c r="K43" s="1252">
        <v>0.122</v>
      </c>
      <c r="L43" s="1202">
        <f t="shared" si="1"/>
        <v>2.4400000000000002E-2</v>
      </c>
      <c r="N43" s="1271">
        <v>0.222</v>
      </c>
      <c r="O43" s="1271">
        <f t="shared" si="2"/>
        <v>0.122</v>
      </c>
    </row>
    <row r="44" spans="1:15" s="1271" customFormat="1" ht="14.1" customHeight="1" x14ac:dyDescent="0.25">
      <c r="A44" s="1195" t="str">
        <f>'[1]Atualização de custos unitarios'!A152</f>
        <v>DNIT –</v>
      </c>
      <c r="B44" s="1196" t="str">
        <f>'[1]Atualização de custos unitarios'!B152</f>
        <v>M1755</v>
      </c>
      <c r="C44" s="1197" t="s">
        <v>434</v>
      </c>
      <c r="D44" s="1699" t="str">
        <f>'[1]Atualização de custos unitarios'!C152</f>
        <v>Pó Calcário</v>
      </c>
      <c r="E44" s="1699"/>
      <c r="F44" s="1699"/>
      <c r="G44" s="1699"/>
      <c r="H44" s="1776">
        <v>0.125</v>
      </c>
      <c r="I44" s="1776"/>
      <c r="J44" s="1237" t="str">
        <f>'[1]Atualização de custos unitarios'!D152</f>
        <v>kg</v>
      </c>
      <c r="K44" s="1252">
        <v>6.7099999999999993E-2</v>
      </c>
      <c r="L44" s="1202">
        <f t="shared" si="1"/>
        <v>8.3874999999999991E-3</v>
      </c>
      <c r="N44" s="1271">
        <v>0.1671</v>
      </c>
      <c r="O44" s="1271">
        <f t="shared" si="2"/>
        <v>6.7099999999999993E-2</v>
      </c>
    </row>
    <row r="45" spans="1:15" s="1271" customFormat="1" ht="14.1" customHeight="1" x14ac:dyDescent="0.25">
      <c r="A45" s="1312"/>
      <c r="B45" s="1313"/>
      <c r="C45" s="1193"/>
      <c r="D45" s="1217"/>
      <c r="E45" s="1485"/>
      <c r="F45" s="1485"/>
      <c r="G45" s="1486"/>
      <c r="H45" s="1487"/>
      <c r="I45" s="1219"/>
      <c r="J45" s="1340"/>
      <c r="K45" s="1341"/>
      <c r="L45" s="1206"/>
    </row>
    <row r="46" spans="1:15" s="1271" customFormat="1" ht="14.1" customHeight="1" x14ac:dyDescent="0.25">
      <c r="A46" s="1765" t="s">
        <v>491</v>
      </c>
      <c r="B46" s="1765"/>
      <c r="C46" s="1765"/>
      <c r="D46" s="1765"/>
      <c r="E46" s="1765"/>
      <c r="F46" s="1765"/>
      <c r="G46" s="1765"/>
      <c r="H46" s="1765"/>
      <c r="I46" s="1765"/>
      <c r="J46" s="1765"/>
      <c r="K46" s="1765"/>
      <c r="L46" s="1230">
        <f>ROUND(SUM(L38:L45),4)</f>
        <v>0.62119999999999997</v>
      </c>
    </row>
    <row r="47" spans="1:15" s="1272" customFormat="1" ht="3" customHeight="1" x14ac:dyDescent="0.25">
      <c r="A47" s="1241"/>
      <c r="B47" s="1241"/>
      <c r="C47" s="1241"/>
      <c r="D47" s="1241"/>
      <c r="E47" s="1241"/>
      <c r="F47" s="1241"/>
      <c r="G47" s="1241"/>
      <c r="H47" s="1241"/>
      <c r="I47" s="1241"/>
      <c r="J47" s="710"/>
      <c r="K47" s="1242"/>
      <c r="L47" s="1243"/>
    </row>
    <row r="48" spans="1:15" s="1271" customFormat="1" ht="14.1" customHeight="1" x14ac:dyDescent="0.25">
      <c r="A48" s="1696" t="s">
        <v>492</v>
      </c>
      <c r="B48" s="1696"/>
      <c r="C48" s="1696"/>
      <c r="D48" s="1696"/>
      <c r="E48" s="1696"/>
      <c r="F48" s="1696"/>
      <c r="G48" s="1703" t="s">
        <v>493</v>
      </c>
      <c r="H48" s="1697" t="s">
        <v>494</v>
      </c>
      <c r="I48" s="1697"/>
      <c r="J48" s="1697"/>
      <c r="K48" s="1697"/>
      <c r="L48" s="1697" t="s">
        <v>495</v>
      </c>
    </row>
    <row r="49" spans="1:12" s="1271" customFormat="1" ht="14.1" customHeight="1" x14ac:dyDescent="0.25">
      <c r="A49" s="1696"/>
      <c r="B49" s="1696"/>
      <c r="C49" s="1696"/>
      <c r="D49" s="1696"/>
      <c r="E49" s="1696"/>
      <c r="F49" s="1696"/>
      <c r="G49" s="1703"/>
      <c r="H49" s="1211" t="s">
        <v>110</v>
      </c>
      <c r="I49" s="1218" t="s">
        <v>302</v>
      </c>
      <c r="J49" s="1194" t="s">
        <v>305</v>
      </c>
      <c r="K49" s="1233" t="s">
        <v>307</v>
      </c>
      <c r="L49" s="1697"/>
    </row>
    <row r="50" spans="1:12" s="1271" customFormat="1" ht="14.1" customHeight="1" x14ac:dyDescent="0.25">
      <c r="A50" s="1696"/>
      <c r="B50" s="1696"/>
      <c r="C50" s="1696"/>
      <c r="D50" s="1696"/>
      <c r="E50" s="1696"/>
      <c r="F50" s="1696"/>
      <c r="G50" s="1703"/>
      <c r="H50" s="1191" t="s">
        <v>496</v>
      </c>
      <c r="I50" s="1244"/>
      <c r="J50" s="1244"/>
      <c r="K50" s="1244"/>
      <c r="L50" s="1697"/>
    </row>
    <row r="51" spans="1:12" s="1271" customFormat="1" ht="14.1" customHeight="1" x14ac:dyDescent="0.25">
      <c r="A51" s="1709" t="str">
        <f>A38</f>
        <v>DNIT –</v>
      </c>
      <c r="B51" s="1710" t="str">
        <f>B38</f>
        <v>M0217</v>
      </c>
      <c r="C51" s="1711" t="s">
        <v>434</v>
      </c>
      <c r="D51" s="1712" t="str">
        <f>D38</f>
        <v>Enxofre</v>
      </c>
      <c r="E51" s="1712"/>
      <c r="F51" s="1713" t="s">
        <v>690</v>
      </c>
      <c r="G51" s="1778">
        <f>(H38/1000)</f>
        <v>3.0000000000000001E-6</v>
      </c>
      <c r="H51" s="1245" t="s">
        <v>497</v>
      </c>
      <c r="I51" s="1246">
        <f>'[1]Composições - Transportes'!B8</f>
        <v>5914404</v>
      </c>
      <c r="J51" s="1246">
        <f>'[1]Composições - Transportes'!B9</f>
        <v>5914419</v>
      </c>
      <c r="K51" s="1246">
        <f>'[1]Composições - Transportes'!B10</f>
        <v>5914434</v>
      </c>
      <c r="L51" s="1715">
        <f>G51*($I$50*I52+$J$50*J52+$K$50*K52)</f>
        <v>0</v>
      </c>
    </row>
    <row r="52" spans="1:12" s="1271" customFormat="1" ht="14.1" customHeight="1" x14ac:dyDescent="0.25">
      <c r="A52" s="1709"/>
      <c r="B52" s="1710"/>
      <c r="C52" s="1711"/>
      <c r="D52" s="1712"/>
      <c r="E52" s="1712"/>
      <c r="F52" s="1713"/>
      <c r="G52" s="1778"/>
      <c r="H52" s="1247" t="s">
        <v>498</v>
      </c>
      <c r="I52" s="1248">
        <f>'[1]Composições - Transportes'!S8</f>
        <v>1.1200000000000001</v>
      </c>
      <c r="J52" s="1248">
        <f>'[1]Composições - Transportes'!S9</f>
        <v>0.89</v>
      </c>
      <c r="K52" s="1248">
        <f>'[1]Composições - Transportes'!S10</f>
        <v>0.71</v>
      </c>
      <c r="L52" s="1715"/>
    </row>
    <row r="53" spans="1:12" s="1271" customFormat="1" ht="14.1" customHeight="1" x14ac:dyDescent="0.25">
      <c r="A53" s="1767" t="str">
        <f>A39</f>
        <v>DNIT –</v>
      </c>
      <c r="B53" s="1768" t="str">
        <f>B39</f>
        <v>M0218</v>
      </c>
      <c r="C53" s="1769" t="s">
        <v>434</v>
      </c>
      <c r="D53" s="1770" t="str">
        <f>D39</f>
        <v>Adubo fósforo (30%)</v>
      </c>
      <c r="E53" s="1770"/>
      <c r="F53" s="1771" t="s">
        <v>690</v>
      </c>
      <c r="G53" s="1779">
        <f>(H39/1000)</f>
        <v>5.0000000000000004E-6</v>
      </c>
      <c r="H53" s="1247" t="s">
        <v>497</v>
      </c>
      <c r="I53" s="1474">
        <f>'[1]Composições - Transportes'!B8</f>
        <v>5914404</v>
      </c>
      <c r="J53" s="1474">
        <f>'[1]Composições - Transportes'!B9</f>
        <v>5914419</v>
      </c>
      <c r="K53" s="1474">
        <f>'[1]Composições - Transportes'!B10</f>
        <v>5914434</v>
      </c>
      <c r="L53" s="1766">
        <f>G53*($I$50*I54+$J$50*J54+$K$50*K54)</f>
        <v>0</v>
      </c>
    </row>
    <row r="54" spans="1:12" s="1271" customFormat="1" ht="14.1" customHeight="1" x14ac:dyDescent="0.25">
      <c r="A54" s="1767"/>
      <c r="B54" s="1768"/>
      <c r="C54" s="1769"/>
      <c r="D54" s="1770"/>
      <c r="E54" s="1770"/>
      <c r="F54" s="1771"/>
      <c r="G54" s="1779"/>
      <c r="H54" s="1247" t="s">
        <v>498</v>
      </c>
      <c r="I54" s="1248">
        <f>'[1]Composições - Transportes'!S8</f>
        <v>1.1200000000000001</v>
      </c>
      <c r="J54" s="1248">
        <f>'[1]Composições - Transportes'!S9</f>
        <v>0.89</v>
      </c>
      <c r="K54" s="1248">
        <f>'[1]Composições - Transportes'!S10</f>
        <v>0.71</v>
      </c>
      <c r="L54" s="1766"/>
    </row>
    <row r="55" spans="1:12" s="1271" customFormat="1" ht="14.1" customHeight="1" x14ac:dyDescent="0.25">
      <c r="A55" s="1767" t="str">
        <f>A40</f>
        <v>DNIT –</v>
      </c>
      <c r="B55" s="1768" t="str">
        <f>B40</f>
        <v>M0219</v>
      </c>
      <c r="C55" s="1769" t="s">
        <v>434</v>
      </c>
      <c r="D55" s="1770" t="str">
        <f>D40</f>
        <v>Adubo potássio</v>
      </c>
      <c r="E55" s="1770"/>
      <c r="F55" s="1771" t="s">
        <v>690</v>
      </c>
      <c r="G55" s="1779">
        <f>(H40/1000)</f>
        <v>2.5000000000000001E-5</v>
      </c>
      <c r="H55" s="1247" t="s">
        <v>497</v>
      </c>
      <c r="I55" s="1474">
        <f>'[1]Composições - Transportes'!B8</f>
        <v>5914404</v>
      </c>
      <c r="J55" s="1474">
        <f>'[1]Composições - Transportes'!B9</f>
        <v>5914419</v>
      </c>
      <c r="K55" s="1474">
        <f>'[1]Composições - Transportes'!B10</f>
        <v>5914434</v>
      </c>
      <c r="L55" s="1766">
        <f>G55*($I$50*I56+$J$50*J56+$K$50*K56)</f>
        <v>0</v>
      </c>
    </row>
    <row r="56" spans="1:12" s="1271" customFormat="1" ht="14.1" customHeight="1" x14ac:dyDescent="0.25">
      <c r="A56" s="1767"/>
      <c r="B56" s="1768"/>
      <c r="C56" s="1769"/>
      <c r="D56" s="1770"/>
      <c r="E56" s="1770"/>
      <c r="F56" s="1771"/>
      <c r="G56" s="1779"/>
      <c r="H56" s="1247" t="s">
        <v>498</v>
      </c>
      <c r="I56" s="1248">
        <f>'[1]Composições - Transportes'!S8</f>
        <v>1.1200000000000001</v>
      </c>
      <c r="J56" s="1248">
        <f>'[1]Composições - Transportes'!S9</f>
        <v>0.89</v>
      </c>
      <c r="K56" s="1248">
        <f>'[1]Composições - Transportes'!S10</f>
        <v>0.71</v>
      </c>
      <c r="L56" s="1766"/>
    </row>
    <row r="57" spans="1:12" s="1271" customFormat="1" ht="14.1" customHeight="1" x14ac:dyDescent="0.25">
      <c r="A57" s="1767" t="str">
        <f>A41</f>
        <v>DNIT –</v>
      </c>
      <c r="B57" s="1768" t="str">
        <f>B41</f>
        <v>M0220</v>
      </c>
      <c r="C57" s="1769" t="s">
        <v>434</v>
      </c>
      <c r="D57" s="1770" t="str">
        <f>D41</f>
        <v>Adubo NPK</v>
      </c>
      <c r="E57" s="1770"/>
      <c r="F57" s="1771" t="s">
        <v>690</v>
      </c>
      <c r="G57" s="1779">
        <f>(H41/1000)</f>
        <v>2.0000000000000002E-5</v>
      </c>
      <c r="H57" s="1247" t="s">
        <v>497</v>
      </c>
      <c r="I57" s="1474">
        <f>'[1]Composições - Transportes'!B8</f>
        <v>5914404</v>
      </c>
      <c r="J57" s="1474">
        <f>'[1]Composições - Transportes'!B9</f>
        <v>5914419</v>
      </c>
      <c r="K57" s="1474">
        <f>'[1]Composições - Transportes'!B10</f>
        <v>5914434</v>
      </c>
      <c r="L57" s="1766">
        <f>G57*($I$50*I58+$J$50*J58+$K$50*K58)</f>
        <v>0</v>
      </c>
    </row>
    <row r="58" spans="1:12" s="1271" customFormat="1" ht="14.1" customHeight="1" x14ac:dyDescent="0.25">
      <c r="A58" s="1767"/>
      <c r="B58" s="1768"/>
      <c r="C58" s="1769"/>
      <c r="D58" s="1770"/>
      <c r="E58" s="1770"/>
      <c r="F58" s="1771"/>
      <c r="G58" s="1779"/>
      <c r="H58" s="1247" t="s">
        <v>498</v>
      </c>
      <c r="I58" s="1248">
        <f>'[1]Composições - Transportes'!S8</f>
        <v>1.1200000000000001</v>
      </c>
      <c r="J58" s="1248">
        <f>'[1]Composições - Transportes'!S9</f>
        <v>0.89</v>
      </c>
      <c r="K58" s="1248">
        <f>'[1]Composições - Transportes'!S10</f>
        <v>0.71</v>
      </c>
      <c r="L58" s="1766"/>
    </row>
    <row r="59" spans="1:12" s="1271" customFormat="1" ht="14.1" customHeight="1" x14ac:dyDescent="0.25">
      <c r="A59" s="1767" t="str">
        <f>A42</f>
        <v>DNIT –</v>
      </c>
      <c r="B59" s="1768" t="str">
        <f>B42</f>
        <v>M0223</v>
      </c>
      <c r="C59" s="1769" t="s">
        <v>434</v>
      </c>
      <c r="D59" s="1770" t="str">
        <f>D42</f>
        <v>Sementes para hidrossemeadura</v>
      </c>
      <c r="E59" s="1770"/>
      <c r="F59" s="1771" t="s">
        <v>505</v>
      </c>
      <c r="G59" s="1779">
        <f>(H42/1000)</f>
        <v>2.5000000000000001E-5</v>
      </c>
      <c r="H59" s="1247" t="s">
        <v>497</v>
      </c>
      <c r="I59" s="1474">
        <f>'[1]Composições - Transportes'!B32</f>
        <v>5914449</v>
      </c>
      <c r="J59" s="1474">
        <f>'[1]Composições - Transportes'!B33</f>
        <v>5914464</v>
      </c>
      <c r="K59" s="1474">
        <f>'[1]Composições - Transportes'!B34</f>
        <v>5914479</v>
      </c>
      <c r="L59" s="1766">
        <f>G59*($I$50*I60+$J$50*J60+$K$50*K60)</f>
        <v>0</v>
      </c>
    </row>
    <row r="60" spans="1:12" s="1271" customFormat="1" ht="14.1" customHeight="1" x14ac:dyDescent="0.25">
      <c r="A60" s="1767"/>
      <c r="B60" s="1768"/>
      <c r="C60" s="1769"/>
      <c r="D60" s="1770"/>
      <c r="E60" s="1770"/>
      <c r="F60" s="1771"/>
      <c r="G60" s="1779"/>
      <c r="H60" s="1247" t="s">
        <v>498</v>
      </c>
      <c r="I60" s="1248">
        <f>'[1]Composições - Transportes'!S32</f>
        <v>0.82</v>
      </c>
      <c r="J60" s="1248">
        <f>'[1]Composições - Transportes'!S33</f>
        <v>0.66</v>
      </c>
      <c r="K60" s="1248">
        <f>'[1]Composições - Transportes'!S34</f>
        <v>0.52</v>
      </c>
      <c r="L60" s="1766"/>
    </row>
    <row r="61" spans="1:12" s="1271" customFormat="1" ht="14.1" customHeight="1" x14ac:dyDescent="0.25">
      <c r="A61" s="1767" t="str">
        <f>A43</f>
        <v>DNIT –</v>
      </c>
      <c r="B61" s="1768" t="str">
        <f>B43</f>
        <v>M0225</v>
      </c>
      <c r="C61" s="1769" t="s">
        <v>434</v>
      </c>
      <c r="D61" s="1770" t="str">
        <f>D43</f>
        <v>Adubo orgânico</v>
      </c>
      <c r="E61" s="1770"/>
      <c r="F61" s="1771" t="s">
        <v>690</v>
      </c>
      <c r="G61" s="1779">
        <f>(H43/1000)</f>
        <v>2.0000000000000001E-4</v>
      </c>
      <c r="H61" s="1247" t="s">
        <v>497</v>
      </c>
      <c r="I61" s="1474">
        <f>'[1]Composições - Transportes'!B8</f>
        <v>5914404</v>
      </c>
      <c r="J61" s="1474">
        <f>'[1]Composições - Transportes'!B9</f>
        <v>5914419</v>
      </c>
      <c r="K61" s="1474">
        <f>'[1]Composições - Transportes'!B10</f>
        <v>5914434</v>
      </c>
      <c r="L61" s="1766">
        <f>G61*($I$50*I62+$J$50*J62+$K$50*K62)</f>
        <v>0</v>
      </c>
    </row>
    <row r="62" spans="1:12" s="1271" customFormat="1" ht="14.1" customHeight="1" x14ac:dyDescent="0.25">
      <c r="A62" s="1767"/>
      <c r="B62" s="1768"/>
      <c r="C62" s="1769"/>
      <c r="D62" s="1770"/>
      <c r="E62" s="1770"/>
      <c r="F62" s="1771"/>
      <c r="G62" s="1779"/>
      <c r="H62" s="1247" t="s">
        <v>498</v>
      </c>
      <c r="I62" s="1248">
        <f>'[1]Composições - Transportes'!S8</f>
        <v>1.1200000000000001</v>
      </c>
      <c r="J62" s="1248">
        <f>'[1]Composições - Transportes'!S9</f>
        <v>0.89</v>
      </c>
      <c r="K62" s="1248">
        <f>'[1]Composições - Transportes'!S10</f>
        <v>0.71</v>
      </c>
      <c r="L62" s="1766"/>
    </row>
    <row r="63" spans="1:12" s="1271" customFormat="1" ht="14.1" customHeight="1" x14ac:dyDescent="0.25">
      <c r="A63" s="1767" t="str">
        <f>A44</f>
        <v>DNIT –</v>
      </c>
      <c r="B63" s="1768" t="str">
        <f>B44</f>
        <v>M1755</v>
      </c>
      <c r="C63" s="1769" t="s">
        <v>434</v>
      </c>
      <c r="D63" s="1770" t="str">
        <f>D44</f>
        <v>Pó Calcário</v>
      </c>
      <c r="E63" s="1770"/>
      <c r="F63" s="1771" t="s">
        <v>708</v>
      </c>
      <c r="G63" s="1779">
        <f>(H44/1000)</f>
        <v>1.25E-4</v>
      </c>
      <c r="H63" s="1247" t="s">
        <v>497</v>
      </c>
      <c r="I63" s="1474">
        <f>'[1]Composições - Transportes'!B29</f>
        <v>5915322</v>
      </c>
      <c r="J63" s="1474">
        <f>'[1]Composições - Transportes'!B30</f>
        <v>5915323</v>
      </c>
      <c r="K63" s="1474">
        <f>'[1]Composições - Transportes'!B31</f>
        <v>5915324</v>
      </c>
      <c r="L63" s="1766">
        <f>G63*($I$50*I64+$J$50*J64+$K$50*K64)</f>
        <v>0</v>
      </c>
    </row>
    <row r="64" spans="1:12" s="1271" customFormat="1" ht="14.1" customHeight="1" x14ac:dyDescent="0.25">
      <c r="A64" s="1767"/>
      <c r="B64" s="1768"/>
      <c r="C64" s="1769"/>
      <c r="D64" s="1770"/>
      <c r="E64" s="1770"/>
      <c r="F64" s="1771"/>
      <c r="G64" s="1779"/>
      <c r="H64" s="1247" t="s">
        <v>498</v>
      </c>
      <c r="I64" s="1248">
        <f>'[1]Composições - Transportes'!S29</f>
        <v>1.71</v>
      </c>
      <c r="J64" s="1248">
        <f>'[1]Composições - Transportes'!S30</f>
        <v>1.37</v>
      </c>
      <c r="K64" s="1248">
        <f>'[1]Composições - Transportes'!S31</f>
        <v>1.0900000000000001</v>
      </c>
      <c r="L64" s="1766"/>
    </row>
    <row r="65" spans="1:12" s="1271" customFormat="1" ht="14.1" customHeight="1" x14ac:dyDescent="0.25">
      <c r="A65" s="1239"/>
      <c r="B65" s="1197"/>
      <c r="C65" s="1197"/>
      <c r="D65" s="1217"/>
      <c r="E65" s="1217"/>
      <c r="F65" s="1217"/>
      <c r="G65" s="1488"/>
      <c r="H65" s="1250"/>
      <c r="I65" s="1250"/>
      <c r="J65" s="1251"/>
      <c r="K65" s="1252"/>
      <c r="L65" s="1202">
        <f>G65*H65*K65</f>
        <v>0</v>
      </c>
    </row>
    <row r="66" spans="1:12" s="1271" customFormat="1" ht="14.1" customHeight="1" x14ac:dyDescent="0.25">
      <c r="A66" s="1707" t="s">
        <v>499</v>
      </c>
      <c r="B66" s="1707"/>
      <c r="C66" s="1707"/>
      <c r="D66" s="1707"/>
      <c r="E66" s="1707"/>
      <c r="F66" s="1707"/>
      <c r="G66" s="1707"/>
      <c r="H66" s="1707"/>
      <c r="I66" s="1707"/>
      <c r="J66" s="1707"/>
      <c r="K66" s="1707"/>
      <c r="L66" s="1253">
        <f>ROUND(SUM(L51:L65),4)</f>
        <v>0</v>
      </c>
    </row>
    <row r="67" spans="1:12" s="1271" customFormat="1" ht="3" customHeight="1" x14ac:dyDescent="0.25">
      <c r="A67" s="1254"/>
      <c r="B67" s="1254"/>
      <c r="C67" s="1254"/>
      <c r="D67" s="1254"/>
      <c r="E67" s="1254"/>
      <c r="F67" s="1254"/>
      <c r="G67" s="1241"/>
      <c r="H67" s="1255"/>
      <c r="I67" s="1255"/>
      <c r="J67" s="1256"/>
      <c r="K67" s="1257"/>
      <c r="L67" s="1258"/>
    </row>
    <row r="68" spans="1:12" s="1271" customFormat="1" ht="15" customHeight="1" x14ac:dyDescent="0.25">
      <c r="A68" s="1707" t="s">
        <v>448</v>
      </c>
      <c r="B68" s="1707"/>
      <c r="C68" s="1707"/>
      <c r="D68" s="1707"/>
      <c r="E68" s="1707"/>
      <c r="F68" s="1707"/>
      <c r="G68" s="1707"/>
      <c r="H68" s="1707"/>
      <c r="I68" s="1707"/>
      <c r="J68" s="1707"/>
      <c r="K68" s="1707"/>
      <c r="L68" s="1253">
        <f>ROUND(L34+L46+L66,4)</f>
        <v>1.1657</v>
      </c>
    </row>
    <row r="69" spans="1:12" s="1271" customFormat="1" ht="15" customHeight="1" x14ac:dyDescent="0.25">
      <c r="A69" s="1716" t="s">
        <v>449</v>
      </c>
      <c r="B69" s="1716"/>
      <c r="C69" s="1716"/>
      <c r="D69" s="1716"/>
      <c r="E69" s="1716"/>
      <c r="F69" s="1716"/>
      <c r="G69" s="1716"/>
      <c r="H69" s="1716"/>
      <c r="I69" s="1716"/>
      <c r="J69" s="1716"/>
      <c r="K69" s="1259">
        <f>[1]LDI!I34</f>
        <v>0.25569999999999998</v>
      </c>
      <c r="L69" s="1298">
        <f>ROUND(L68*K69,4)</f>
        <v>0.29809999999999998</v>
      </c>
    </row>
    <row r="70" spans="1:12" s="1271" customFormat="1" ht="20.100000000000001" customHeight="1" x14ac:dyDescent="0.25">
      <c r="A70" s="1704" t="s">
        <v>450</v>
      </c>
      <c r="B70" s="1704"/>
      <c r="C70" s="1704"/>
      <c r="D70" s="1704"/>
      <c r="E70" s="1704"/>
      <c r="F70" s="1704"/>
      <c r="G70" s="1704"/>
      <c r="H70" s="1704"/>
      <c r="I70" s="1704"/>
      <c r="J70" s="1704"/>
      <c r="K70" s="1704"/>
      <c r="L70" s="1260">
        <f>ROUND(L68+L69,2)</f>
        <v>1.46</v>
      </c>
    </row>
    <row r="71" spans="1:12" s="1271" customFormat="1" ht="3" customHeight="1" x14ac:dyDescent="0.25">
      <c r="A71" s="1261"/>
      <c r="B71" s="1261"/>
      <c r="C71" s="1261"/>
      <c r="D71" s="1261"/>
      <c r="E71" s="1261"/>
      <c r="F71" s="1261"/>
      <c r="G71" s="1261"/>
      <c r="H71" s="1261"/>
      <c r="I71" s="1261"/>
      <c r="J71" s="1261"/>
      <c r="K71" s="1261"/>
      <c r="L71" s="1261"/>
    </row>
    <row r="72" spans="1:12" s="1271" customFormat="1" ht="21.9" customHeight="1" x14ac:dyDescent="0.25">
      <c r="A72" s="1262" t="s">
        <v>451</v>
      </c>
      <c r="B72" s="1263"/>
      <c r="C72" s="1717" t="s">
        <v>709</v>
      </c>
      <c r="D72" s="1717"/>
      <c r="E72" s="1717"/>
      <c r="F72" s="1717"/>
      <c r="G72" s="1717"/>
      <c r="H72" s="1717"/>
      <c r="I72" s="1717"/>
      <c r="J72" s="1717"/>
      <c r="K72" s="1717"/>
      <c r="L72" s="1717"/>
    </row>
    <row r="73" spans="1:12" s="1271" customFormat="1" ht="15.9" customHeight="1" x14ac:dyDescent="0.25">
      <c r="A73" s="1264"/>
      <c r="B73" s="1265"/>
      <c r="C73" s="1708" t="s">
        <v>570</v>
      </c>
      <c r="D73" s="1708"/>
      <c r="E73" s="1708"/>
      <c r="F73" s="1708"/>
      <c r="G73" s="1708"/>
      <c r="H73" s="1708"/>
      <c r="I73" s="1708"/>
      <c r="J73" s="1708"/>
      <c r="K73" s="1708"/>
      <c r="L73" s="1708"/>
    </row>
    <row r="74" spans="1:12" s="1271" customFormat="1" ht="12.75" customHeight="1" x14ac:dyDescent="0.25">
      <c r="A74" s="1267"/>
      <c r="B74" s="1268"/>
      <c r="C74" s="1303"/>
      <c r="D74" s="1303"/>
      <c r="E74" s="1303"/>
      <c r="F74" s="1303"/>
      <c r="G74" s="1303"/>
      <c r="H74" s="1303"/>
      <c r="I74" s="1303"/>
      <c r="J74" s="1303"/>
      <c r="K74" s="1303"/>
      <c r="L74" s="1304"/>
    </row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101">
    <mergeCell ref="A66:K66"/>
    <mergeCell ref="A68:K68"/>
    <mergeCell ref="A69:J69"/>
    <mergeCell ref="A70:K70"/>
    <mergeCell ref="C72:L72"/>
    <mergeCell ref="C73:L73"/>
    <mergeCell ref="L61:L62"/>
    <mergeCell ref="A63:A64"/>
    <mergeCell ref="B63:B64"/>
    <mergeCell ref="C63:C64"/>
    <mergeCell ref="D63:E64"/>
    <mergeCell ref="F63:F64"/>
    <mergeCell ref="G63:G64"/>
    <mergeCell ref="L63:L64"/>
    <mergeCell ref="A61:A62"/>
    <mergeCell ref="B61:B62"/>
    <mergeCell ref="C61:C62"/>
    <mergeCell ref="D61:E62"/>
    <mergeCell ref="F61:F62"/>
    <mergeCell ref="G61:G62"/>
    <mergeCell ref="L57:L58"/>
    <mergeCell ref="A59:A60"/>
    <mergeCell ref="B59:B60"/>
    <mergeCell ref="C59:C60"/>
    <mergeCell ref="D59:E60"/>
    <mergeCell ref="F59:F60"/>
    <mergeCell ref="G59:G60"/>
    <mergeCell ref="L59:L60"/>
    <mergeCell ref="A57:A58"/>
    <mergeCell ref="B57:B58"/>
    <mergeCell ref="C57:C58"/>
    <mergeCell ref="D57:E58"/>
    <mergeCell ref="F57:F58"/>
    <mergeCell ref="G57:G58"/>
    <mergeCell ref="L53:L54"/>
    <mergeCell ref="A55:A56"/>
    <mergeCell ref="B55:B56"/>
    <mergeCell ref="C55:C56"/>
    <mergeCell ref="D55:E56"/>
    <mergeCell ref="F55:F56"/>
    <mergeCell ref="G55:G56"/>
    <mergeCell ref="L55:L56"/>
    <mergeCell ref="A53:A54"/>
    <mergeCell ref="B53:B54"/>
    <mergeCell ref="C53:C54"/>
    <mergeCell ref="D53:E54"/>
    <mergeCell ref="F53:F54"/>
    <mergeCell ref="G53:G54"/>
    <mergeCell ref="L48:L50"/>
    <mergeCell ref="A51:A52"/>
    <mergeCell ref="B51:B52"/>
    <mergeCell ref="C51:C52"/>
    <mergeCell ref="D51:E52"/>
    <mergeCell ref="F51:F52"/>
    <mergeCell ref="G51:G52"/>
    <mergeCell ref="L51:L52"/>
    <mergeCell ref="D44:G44"/>
    <mergeCell ref="H44:I44"/>
    <mergeCell ref="A46:K46"/>
    <mergeCell ref="A48:F50"/>
    <mergeCell ref="G48:G50"/>
    <mergeCell ref="H48:K48"/>
    <mergeCell ref="D41:G41"/>
    <mergeCell ref="H41:I41"/>
    <mergeCell ref="D42:G42"/>
    <mergeCell ref="H42:I42"/>
    <mergeCell ref="D43:G43"/>
    <mergeCell ref="H43:I43"/>
    <mergeCell ref="D38:G38"/>
    <mergeCell ref="H38:I38"/>
    <mergeCell ref="D39:G39"/>
    <mergeCell ref="H39:I39"/>
    <mergeCell ref="D40:G40"/>
    <mergeCell ref="H40:I40"/>
    <mergeCell ref="A36:G37"/>
    <mergeCell ref="H36:I37"/>
    <mergeCell ref="J36:J37"/>
    <mergeCell ref="D19:F19"/>
    <mergeCell ref="A21:K21"/>
    <mergeCell ref="A23:I24"/>
    <mergeCell ref="J23:J24"/>
    <mergeCell ref="K23:K24"/>
    <mergeCell ref="D25:I25"/>
    <mergeCell ref="A12:L13"/>
    <mergeCell ref="E15:J15"/>
    <mergeCell ref="A17:F18"/>
    <mergeCell ref="G17:G18"/>
    <mergeCell ref="H17:I17"/>
    <mergeCell ref="J17:K17"/>
    <mergeCell ref="A27:K27"/>
    <mergeCell ref="A34:H34"/>
    <mergeCell ref="I34:K34"/>
    <mergeCell ref="A1:L1"/>
    <mergeCell ref="A2:L2"/>
    <mergeCell ref="A3:K3"/>
    <mergeCell ref="A4:K4"/>
    <mergeCell ref="A5:K5"/>
    <mergeCell ref="L5:L6"/>
    <mergeCell ref="A8:L8"/>
    <mergeCell ref="A9:D9"/>
    <mergeCell ref="E9:L9"/>
  </mergeCells>
  <dataValidations count="1">
    <dataValidation allowBlank="1" showInputMessage="1" showErrorMessage="1" prompt="Clique duas vezes sobre o número do item para ser direcionado à Planilha Orçamentária." sqref="D15" xr:uid="{00000000-0002-0000-25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6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BBFB-DDD6-4899-AE73-51531FED6A54}">
  <dimension ref="A1:F46"/>
  <sheetViews>
    <sheetView view="pageBreakPreview" zoomScale="90" zoomScaleNormal="100" zoomScaleSheetLayoutView="90" workbookViewId="0">
      <selection activeCell="B8" sqref="B8"/>
    </sheetView>
  </sheetViews>
  <sheetFormatPr defaultRowHeight="13.2" x14ac:dyDescent="0.25"/>
  <cols>
    <col min="1" max="1" width="13.44140625" customWidth="1"/>
    <col min="2" max="2" width="52.33203125" customWidth="1"/>
    <col min="3" max="3" width="10.109375" customWidth="1"/>
    <col min="4" max="4" width="13" customWidth="1"/>
    <col min="5" max="5" width="9.77734375" customWidth="1"/>
    <col min="6" max="6" width="12.33203125" customWidth="1"/>
  </cols>
  <sheetData>
    <row r="1" spans="1:6" x14ac:dyDescent="0.25">
      <c r="A1" s="1786" t="s">
        <v>710</v>
      </c>
      <c r="B1" s="1787" t="str">
        <f>ORÇAMENTÁRIA!D1</f>
        <v>J J BORGES DE OLIVEIRA EIRELI</v>
      </c>
      <c r="C1" s="1788"/>
      <c r="D1" s="1788"/>
      <c r="E1" s="1788"/>
      <c r="F1" s="1788"/>
    </row>
    <row r="2" spans="1:6" x14ac:dyDescent="0.25">
      <c r="A2" s="1786" t="s">
        <v>712</v>
      </c>
      <c r="B2" s="1787" t="str">
        <f>ORÇAMENTÁRIA!D2</f>
        <v>20.129.307/0001-02</v>
      </c>
      <c r="C2" s="1838"/>
      <c r="D2" s="1839"/>
      <c r="E2" s="1839"/>
      <c r="F2" s="1839"/>
    </row>
    <row r="3" spans="1:6" x14ac:dyDescent="0.25">
      <c r="A3" s="1840" t="s">
        <v>794</v>
      </c>
      <c r="B3" s="1841"/>
      <c r="C3" s="1838"/>
      <c r="D3" s="1842"/>
      <c r="E3" s="1839"/>
      <c r="F3" s="1839"/>
    </row>
    <row r="4" spans="1:6" x14ac:dyDescent="0.25">
      <c r="A4" s="1791" t="s">
        <v>714</v>
      </c>
      <c r="B4" s="1841" t="str">
        <f>ORÇAMENTÁRIA!D4</f>
        <v>TOMADA DE PREÇOS</v>
      </c>
      <c r="C4" s="1839"/>
      <c r="D4" s="1842"/>
      <c r="E4" s="1839"/>
      <c r="F4" s="1839"/>
    </row>
    <row r="5" spans="1:6" ht="48" customHeight="1" x14ac:dyDescent="0.25">
      <c r="A5" s="1786" t="s">
        <v>715</v>
      </c>
      <c r="B5" s="1871" t="str">
        <f>ORÇAMENTÁRIA!D5</f>
        <v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v>
      </c>
      <c r="C5" s="1871"/>
      <c r="D5" s="1871"/>
      <c r="E5" s="1871"/>
      <c r="F5" s="1871"/>
    </row>
    <row r="6" spans="1:6" x14ac:dyDescent="0.25">
      <c r="A6" s="1786" t="s">
        <v>716</v>
      </c>
      <c r="B6" s="1841" t="str">
        <f>ORÇAMENTÁRIA!D6</f>
        <v>PREFEITURA MINUCIPAL DE AURORA DO PARÁ</v>
      </c>
      <c r="C6" s="1839"/>
      <c r="D6" s="1842"/>
      <c r="E6" s="1842"/>
      <c r="F6" s="1842"/>
    </row>
    <row r="7" spans="1:6" x14ac:dyDescent="0.25">
      <c r="A7" s="1793" t="s">
        <v>717</v>
      </c>
      <c r="B7" s="1843">
        <f>ORÇAMENTÁRIA!D7</f>
        <v>0.25569999999999998</v>
      </c>
      <c r="C7" s="1839"/>
      <c r="D7" s="1842"/>
      <c r="E7" s="1842"/>
      <c r="F7" s="1842"/>
    </row>
    <row r="8" spans="1:6" ht="36" x14ac:dyDescent="0.25">
      <c r="A8" s="1794" t="s">
        <v>718</v>
      </c>
      <c r="B8" s="1841" t="str">
        <f>ORÇAMENTÁRIA!D8</f>
        <v xml:space="preserve"> PA MANOEL CRESCÊNCIO DE SOUZA</v>
      </c>
      <c r="C8" s="1842"/>
      <c r="D8" s="1842"/>
      <c r="E8" s="1842"/>
      <c r="F8" s="1842"/>
    </row>
    <row r="9" spans="1:6" x14ac:dyDescent="0.25">
      <c r="A9" s="1844" t="s">
        <v>727</v>
      </c>
      <c r="B9" s="1845"/>
      <c r="C9" s="1845"/>
      <c r="D9" s="1845"/>
      <c r="E9" s="1845"/>
      <c r="F9" s="1846"/>
    </row>
    <row r="10" spans="1:6" x14ac:dyDescent="0.25">
      <c r="A10" s="1847" t="s">
        <v>411</v>
      </c>
      <c r="B10" s="1847" t="s">
        <v>728</v>
      </c>
      <c r="C10" s="1848" t="s">
        <v>729</v>
      </c>
      <c r="D10" s="1848"/>
      <c r="E10" s="1848" t="s">
        <v>730</v>
      </c>
      <c r="F10" s="1848"/>
    </row>
    <row r="11" spans="1:6" ht="26.4" x14ac:dyDescent="0.25">
      <c r="A11" s="1847"/>
      <c r="B11" s="1847"/>
      <c r="C11" s="1849" t="s">
        <v>731</v>
      </c>
      <c r="D11" s="1849" t="s">
        <v>732</v>
      </c>
      <c r="E11" s="1849" t="s">
        <v>731</v>
      </c>
      <c r="F11" s="1849" t="s">
        <v>732</v>
      </c>
    </row>
    <row r="12" spans="1:6" x14ac:dyDescent="0.25">
      <c r="A12" s="1850" t="s">
        <v>733</v>
      </c>
      <c r="B12" s="1850"/>
      <c r="C12" s="1850"/>
      <c r="D12" s="1850"/>
      <c r="E12" s="1850"/>
      <c r="F12" s="1850"/>
    </row>
    <row r="13" spans="1:6" x14ac:dyDescent="0.25">
      <c r="A13" s="1851" t="s">
        <v>734</v>
      </c>
      <c r="B13" s="1852" t="s">
        <v>735</v>
      </c>
      <c r="C13" s="1853">
        <v>0</v>
      </c>
      <c r="D13" s="1853">
        <v>0</v>
      </c>
      <c r="E13" s="1853">
        <v>0.2</v>
      </c>
      <c r="F13" s="1853">
        <v>0.2</v>
      </c>
    </row>
    <row r="14" spans="1:6" x14ac:dyDescent="0.25">
      <c r="A14" s="1851" t="s">
        <v>736</v>
      </c>
      <c r="B14" s="1852" t="s">
        <v>737</v>
      </c>
      <c r="C14" s="1853">
        <v>1.4999999999999999E-2</v>
      </c>
      <c r="D14" s="1853">
        <v>1.4999999999999999E-2</v>
      </c>
      <c r="E14" s="1853">
        <v>1.4999999999999999E-2</v>
      </c>
      <c r="F14" s="1853">
        <v>1.4999999999999999E-2</v>
      </c>
    </row>
    <row r="15" spans="1:6" x14ac:dyDescent="0.25">
      <c r="A15" s="1851" t="s">
        <v>738</v>
      </c>
      <c r="B15" s="1852" t="s">
        <v>739</v>
      </c>
      <c r="C15" s="1853">
        <v>0.01</v>
      </c>
      <c r="D15" s="1853">
        <v>0.01</v>
      </c>
      <c r="E15" s="1853">
        <v>0.01</v>
      </c>
      <c r="F15" s="1853">
        <v>0.01</v>
      </c>
    </row>
    <row r="16" spans="1:6" x14ac:dyDescent="0.25">
      <c r="A16" s="1851" t="s">
        <v>740</v>
      </c>
      <c r="B16" s="1852" t="s">
        <v>741</v>
      </c>
      <c r="C16" s="1853">
        <v>2E-3</v>
      </c>
      <c r="D16" s="1853">
        <v>2E-3</v>
      </c>
      <c r="E16" s="1853">
        <v>2E-3</v>
      </c>
      <c r="F16" s="1853">
        <v>2E-3</v>
      </c>
    </row>
    <row r="17" spans="1:6" x14ac:dyDescent="0.25">
      <c r="A17" s="1851" t="s">
        <v>742</v>
      </c>
      <c r="B17" s="1852" t="s">
        <v>743</v>
      </c>
      <c r="C17" s="1853">
        <v>6.0000000000000001E-3</v>
      </c>
      <c r="D17" s="1853">
        <v>6.0000000000000001E-3</v>
      </c>
      <c r="E17" s="1853">
        <v>6.0000000000000001E-3</v>
      </c>
      <c r="F17" s="1853">
        <v>6.0000000000000001E-3</v>
      </c>
    </row>
    <row r="18" spans="1:6" x14ac:dyDescent="0.25">
      <c r="A18" s="1851" t="s">
        <v>744</v>
      </c>
      <c r="B18" s="1852" t="s">
        <v>745</v>
      </c>
      <c r="C18" s="1853">
        <v>2.5000000000000001E-2</v>
      </c>
      <c r="D18" s="1853">
        <v>2.5000000000000001E-2</v>
      </c>
      <c r="E18" s="1853">
        <v>2.5000000000000001E-2</v>
      </c>
      <c r="F18" s="1853">
        <v>2.5000000000000001E-2</v>
      </c>
    </row>
    <row r="19" spans="1:6" x14ac:dyDescent="0.25">
      <c r="A19" s="1851" t="s">
        <v>746</v>
      </c>
      <c r="B19" s="1854" t="s">
        <v>747</v>
      </c>
      <c r="C19" s="1853">
        <v>0.03</v>
      </c>
      <c r="D19" s="1853">
        <v>0.03</v>
      </c>
      <c r="E19" s="1855">
        <v>0.03</v>
      </c>
      <c r="F19" s="1855">
        <v>0.03</v>
      </c>
    </row>
    <row r="20" spans="1:6" x14ac:dyDescent="0.25">
      <c r="A20" s="1851" t="s">
        <v>748</v>
      </c>
      <c r="B20" s="1852" t="s">
        <v>749</v>
      </c>
      <c r="C20" s="1853">
        <v>0.08</v>
      </c>
      <c r="D20" s="1853">
        <v>0.08</v>
      </c>
      <c r="E20" s="1853">
        <v>0.08</v>
      </c>
      <c r="F20" s="1853">
        <v>0.08</v>
      </c>
    </row>
    <row r="21" spans="1:6" x14ac:dyDescent="0.25">
      <c r="A21" s="1851" t="s">
        <v>750</v>
      </c>
      <c r="B21" s="1852" t="s">
        <v>751</v>
      </c>
      <c r="C21" s="1853">
        <v>0</v>
      </c>
      <c r="D21" s="1853">
        <v>0</v>
      </c>
      <c r="E21" s="1853">
        <v>0</v>
      </c>
      <c r="F21" s="1853">
        <v>0</v>
      </c>
    </row>
    <row r="22" spans="1:6" x14ac:dyDescent="0.25">
      <c r="A22" s="1856" t="s">
        <v>752</v>
      </c>
      <c r="B22" s="1856" t="s">
        <v>36</v>
      </c>
      <c r="C22" s="1857">
        <f>SUM(C13:C21)</f>
        <v>0.16799999999999998</v>
      </c>
      <c r="D22" s="1857">
        <f>SUM(D13:D21)</f>
        <v>0.16799999999999998</v>
      </c>
      <c r="E22" s="1857">
        <f>SUM(E13:E21)</f>
        <v>0.36800000000000005</v>
      </c>
      <c r="F22" s="1857">
        <f>SUM(F13:F21)</f>
        <v>0.36800000000000005</v>
      </c>
    </row>
    <row r="23" spans="1:6" x14ac:dyDescent="0.25">
      <c r="A23" s="1850" t="s">
        <v>753</v>
      </c>
      <c r="B23" s="1850"/>
      <c r="C23" s="1850"/>
      <c r="D23" s="1850"/>
      <c r="E23" s="1850"/>
      <c r="F23" s="1850"/>
    </row>
    <row r="24" spans="1:6" x14ac:dyDescent="0.25">
      <c r="A24" s="1851" t="s">
        <v>754</v>
      </c>
      <c r="B24" s="1852" t="s">
        <v>755</v>
      </c>
      <c r="C24" s="1853">
        <v>0.18110000000000001</v>
      </c>
      <c r="D24" s="1855" t="s">
        <v>756</v>
      </c>
      <c r="E24" s="1853">
        <v>0.18110000000000001</v>
      </c>
      <c r="F24" s="1855" t="s">
        <v>756</v>
      </c>
    </row>
    <row r="25" spans="1:6" x14ac:dyDescent="0.25">
      <c r="A25" s="1851" t="s">
        <v>757</v>
      </c>
      <c r="B25" s="1854" t="s">
        <v>758</v>
      </c>
      <c r="C25" s="1853">
        <v>4.1500000000000002E-2</v>
      </c>
      <c r="D25" s="1855" t="s">
        <v>756</v>
      </c>
      <c r="E25" s="1853">
        <v>4.1500000000000002E-2</v>
      </c>
      <c r="F25" s="1855" t="s">
        <v>756</v>
      </c>
    </row>
    <row r="26" spans="1:6" x14ac:dyDescent="0.25">
      <c r="A26" s="1851" t="s">
        <v>759</v>
      </c>
      <c r="B26" s="1852" t="s">
        <v>760</v>
      </c>
      <c r="C26" s="1853">
        <v>8.8999999999999999E-3</v>
      </c>
      <c r="D26" s="1853">
        <v>6.7000000000000002E-3</v>
      </c>
      <c r="E26" s="1853">
        <v>8.8999999999999999E-3</v>
      </c>
      <c r="F26" s="1853">
        <v>6.7000000000000002E-3</v>
      </c>
    </row>
    <row r="27" spans="1:6" x14ac:dyDescent="0.25">
      <c r="A27" s="1851" t="s">
        <v>761</v>
      </c>
      <c r="B27" s="1852" t="s">
        <v>762</v>
      </c>
      <c r="C27" s="1853">
        <v>0.10979999999999999</v>
      </c>
      <c r="D27" s="1853">
        <v>8.3299999999999999E-2</v>
      </c>
      <c r="E27" s="1853">
        <v>0.10979999999999999</v>
      </c>
      <c r="F27" s="1853">
        <v>8.3299999999999999E-2</v>
      </c>
    </row>
    <row r="28" spans="1:6" x14ac:dyDescent="0.25">
      <c r="A28" s="1851" t="s">
        <v>763</v>
      </c>
      <c r="B28" s="1852" t="s">
        <v>764</v>
      </c>
      <c r="C28" s="1853">
        <v>6.9999999999999999E-4</v>
      </c>
      <c r="D28" s="1853">
        <v>5.9999999999999995E-4</v>
      </c>
      <c r="E28" s="1853">
        <v>6.9999999999999999E-4</v>
      </c>
      <c r="F28" s="1853">
        <v>5.9999999999999995E-4</v>
      </c>
    </row>
    <row r="29" spans="1:6" x14ac:dyDescent="0.25">
      <c r="A29" s="1851" t="s">
        <v>765</v>
      </c>
      <c r="B29" s="1852" t="s">
        <v>766</v>
      </c>
      <c r="C29" s="1853">
        <v>7.3000000000000001E-3</v>
      </c>
      <c r="D29" s="1853">
        <v>5.5999999999999999E-3</v>
      </c>
      <c r="E29" s="1853">
        <v>7.3000000000000001E-3</v>
      </c>
      <c r="F29" s="1853">
        <v>5.5999999999999999E-3</v>
      </c>
    </row>
    <row r="30" spans="1:6" x14ac:dyDescent="0.25">
      <c r="A30" s="1851" t="s">
        <v>767</v>
      </c>
      <c r="B30" s="1852" t="s">
        <v>768</v>
      </c>
      <c r="C30" s="1853">
        <v>2.6800000000000001E-2</v>
      </c>
      <c r="D30" s="1855" t="s">
        <v>756</v>
      </c>
      <c r="E30" s="1853">
        <v>2.6800000000000001E-2</v>
      </c>
      <c r="F30" s="1855" t="s">
        <v>756</v>
      </c>
    </row>
    <row r="31" spans="1:6" x14ac:dyDescent="0.25">
      <c r="A31" s="1851" t="s">
        <v>769</v>
      </c>
      <c r="B31" s="1852" t="s">
        <v>770</v>
      </c>
      <c r="C31" s="1853">
        <v>1.1000000000000001E-3</v>
      </c>
      <c r="D31" s="1853">
        <v>8.0000000000000004E-4</v>
      </c>
      <c r="E31" s="1853">
        <v>1.1000000000000001E-3</v>
      </c>
      <c r="F31" s="1853">
        <v>8.0000000000000004E-4</v>
      </c>
    </row>
    <row r="32" spans="1:6" x14ac:dyDescent="0.25">
      <c r="A32" s="1851" t="s">
        <v>771</v>
      </c>
      <c r="B32" s="1852" t="s">
        <v>772</v>
      </c>
      <c r="C32" s="1853">
        <v>9.2700000000000005E-2</v>
      </c>
      <c r="D32" s="1853">
        <v>7.0300000000000001E-2</v>
      </c>
      <c r="E32" s="1853">
        <v>9.2700000000000005E-2</v>
      </c>
      <c r="F32" s="1853">
        <v>7.0300000000000001E-2</v>
      </c>
    </row>
    <row r="33" spans="1:6" x14ac:dyDescent="0.25">
      <c r="A33" s="1851" t="s">
        <v>773</v>
      </c>
      <c r="B33" s="1852" t="s">
        <v>774</v>
      </c>
      <c r="C33" s="1853">
        <v>2.9999999999999997E-4</v>
      </c>
      <c r="D33" s="1853">
        <v>2.9999999999999997E-4</v>
      </c>
      <c r="E33" s="1853">
        <v>2.9999999999999997E-4</v>
      </c>
      <c r="F33" s="1853">
        <v>2.9999999999999997E-4</v>
      </c>
    </row>
    <row r="34" spans="1:6" x14ac:dyDescent="0.25">
      <c r="A34" s="1858" t="s">
        <v>775</v>
      </c>
      <c r="B34" s="1858" t="s">
        <v>36</v>
      </c>
      <c r="C34" s="1859">
        <f>SUM(C24:C33)</f>
        <v>0.47019999999999995</v>
      </c>
      <c r="D34" s="1859">
        <f>SUM(D24:D33)</f>
        <v>0.1676</v>
      </c>
      <c r="E34" s="1859">
        <f>SUM(E24:E33)</f>
        <v>0.47019999999999995</v>
      </c>
      <c r="F34" s="1859">
        <f>SUM(F24:F33)</f>
        <v>0.1676</v>
      </c>
    </row>
    <row r="35" spans="1:6" x14ac:dyDescent="0.25">
      <c r="A35" s="1860" t="s">
        <v>776</v>
      </c>
      <c r="B35" s="1861"/>
      <c r="C35" s="1861"/>
      <c r="D35" s="1861"/>
      <c r="E35" s="1861"/>
      <c r="F35" s="1862"/>
    </row>
    <row r="36" spans="1:6" x14ac:dyDescent="0.25">
      <c r="A36" s="1863" t="s">
        <v>777</v>
      </c>
      <c r="B36" s="1864" t="s">
        <v>778</v>
      </c>
      <c r="C36" s="1865">
        <v>5.6899999999999999E-2</v>
      </c>
      <c r="D36" s="1865">
        <v>4.3200000000000002E-2</v>
      </c>
      <c r="E36" s="1865">
        <v>5.6899999999999999E-2</v>
      </c>
      <c r="F36" s="1865">
        <v>4.3200000000000002E-2</v>
      </c>
    </row>
    <row r="37" spans="1:6" x14ac:dyDescent="0.25">
      <c r="A37" s="1851" t="s">
        <v>779</v>
      </c>
      <c r="B37" s="1852" t="s">
        <v>780</v>
      </c>
      <c r="C37" s="1853">
        <v>1.2999999999999999E-3</v>
      </c>
      <c r="D37" s="1853">
        <v>1E-3</v>
      </c>
      <c r="E37" s="1853">
        <v>1.2999999999999999E-3</v>
      </c>
      <c r="F37" s="1853">
        <v>1E-3</v>
      </c>
    </row>
    <row r="38" spans="1:6" x14ac:dyDescent="0.25">
      <c r="A38" s="1851" t="s">
        <v>781</v>
      </c>
      <c r="B38" s="1852" t="s">
        <v>782</v>
      </c>
      <c r="C38" s="1853">
        <v>4.4699999999999997E-2</v>
      </c>
      <c r="D38" s="1853">
        <v>3.39E-2</v>
      </c>
      <c r="E38" s="1853">
        <v>4.4699999999999997E-2</v>
      </c>
      <c r="F38" s="1853">
        <v>3.39E-2</v>
      </c>
    </row>
    <row r="39" spans="1:6" x14ac:dyDescent="0.25">
      <c r="A39" s="1851" t="s">
        <v>783</v>
      </c>
      <c r="B39" s="1852" t="s">
        <v>784</v>
      </c>
      <c r="C39" s="1853">
        <v>3.9300000000000002E-2</v>
      </c>
      <c r="D39" s="1853">
        <v>2.98E-2</v>
      </c>
      <c r="E39" s="1853">
        <v>3.9300000000000002E-2</v>
      </c>
      <c r="F39" s="1853">
        <v>2.98E-2</v>
      </c>
    </row>
    <row r="40" spans="1:6" x14ac:dyDescent="0.25">
      <c r="A40" s="1851" t="s">
        <v>785</v>
      </c>
      <c r="B40" s="1852" t="s">
        <v>786</v>
      </c>
      <c r="C40" s="1853">
        <v>4.7999999999999996E-3</v>
      </c>
      <c r="D40" s="1853">
        <v>3.5999999999999999E-3</v>
      </c>
      <c r="E40" s="1853">
        <v>4.7999999999999996E-3</v>
      </c>
      <c r="F40" s="1853">
        <v>3.5999999999999999E-3</v>
      </c>
    </row>
    <row r="41" spans="1:6" x14ac:dyDescent="0.25">
      <c r="A41" s="1858" t="s">
        <v>787</v>
      </c>
      <c r="B41" s="1858" t="s">
        <v>36</v>
      </c>
      <c r="C41" s="1859">
        <f>SUM(C36:C40)</f>
        <v>0.14699999999999999</v>
      </c>
      <c r="D41" s="1859">
        <f>SUM(D36:D40)</f>
        <v>0.1115</v>
      </c>
      <c r="E41" s="1859">
        <f>SUM(E36:E40)</f>
        <v>0.14699999999999999</v>
      </c>
      <c r="F41" s="1859">
        <f>SUM(F36:F40)</f>
        <v>0.1115</v>
      </c>
    </row>
    <row r="42" spans="1:6" x14ac:dyDescent="0.25">
      <c r="A42" s="1860" t="s">
        <v>788</v>
      </c>
      <c r="B42" s="1861"/>
      <c r="C42" s="1861"/>
      <c r="D42" s="1861"/>
      <c r="E42" s="1861"/>
      <c r="F42" s="1862"/>
    </row>
    <row r="43" spans="1:6" x14ac:dyDescent="0.25">
      <c r="A43" s="1863" t="s">
        <v>789</v>
      </c>
      <c r="B43" s="1864" t="s">
        <v>790</v>
      </c>
      <c r="C43" s="1865">
        <v>7.9000000000000001E-2</v>
      </c>
      <c r="D43" s="1865">
        <v>2.8199999999999999E-2</v>
      </c>
      <c r="E43" s="1865">
        <v>0.17299999999999999</v>
      </c>
      <c r="F43" s="1865">
        <v>6.1699999999999998E-2</v>
      </c>
    </row>
    <row r="44" spans="1:6" ht="26.4" x14ac:dyDescent="0.25">
      <c r="A44" s="1851" t="s">
        <v>791</v>
      </c>
      <c r="B44" s="1866" t="s">
        <v>792</v>
      </c>
      <c r="C44" s="1853">
        <v>4.7999999999999996E-3</v>
      </c>
      <c r="D44" s="1853">
        <v>3.5999999999999999E-3</v>
      </c>
      <c r="E44" s="1853">
        <v>5.0000000000000001E-3</v>
      </c>
      <c r="F44" s="1853">
        <v>3.8E-3</v>
      </c>
    </row>
    <row r="45" spans="1:6" x14ac:dyDescent="0.25">
      <c r="A45" s="1856" t="s">
        <v>277</v>
      </c>
      <c r="B45" s="1856" t="s">
        <v>36</v>
      </c>
      <c r="C45" s="1867">
        <f>SUM(C43:C44)</f>
        <v>8.3799999999999999E-2</v>
      </c>
      <c r="D45" s="1867">
        <f>SUM(D43:D44)</f>
        <v>3.1800000000000002E-2</v>
      </c>
      <c r="E45" s="1867">
        <f>SUM(E43:E44)</f>
        <v>0.17799999999999999</v>
      </c>
      <c r="F45" s="1867">
        <f>SUM(F43:F44)</f>
        <v>6.5500000000000003E-2</v>
      </c>
    </row>
    <row r="46" spans="1:6" x14ac:dyDescent="0.25">
      <c r="A46" s="1868" t="s">
        <v>793</v>
      </c>
      <c r="B46" s="1869"/>
      <c r="C46" s="1870">
        <f>C22+C34+C41+C45</f>
        <v>0.86899999999999988</v>
      </c>
      <c r="D46" s="1870">
        <f>D22+D34+D41+D45</f>
        <v>0.47889999999999999</v>
      </c>
      <c r="E46" s="1870">
        <f>E22+E34+E41+E45</f>
        <v>1.1632</v>
      </c>
      <c r="F46" s="1870">
        <f>F22+F34+F41+F45</f>
        <v>0.71260000000000012</v>
      </c>
    </row>
  </sheetData>
  <mergeCells count="11">
    <mergeCell ref="A23:F23"/>
    <mergeCell ref="A35:F35"/>
    <mergeCell ref="A42:F42"/>
    <mergeCell ref="A46:B46"/>
    <mergeCell ref="B5:F5"/>
    <mergeCell ref="A9:F9"/>
    <mergeCell ref="A10:A11"/>
    <mergeCell ref="B10:B11"/>
    <mergeCell ref="C10:D10"/>
    <mergeCell ref="E10:F10"/>
    <mergeCell ref="A12:F12"/>
  </mergeCells>
  <pageMargins left="0.511811024" right="0.511811024" top="0.78740157499999996" bottom="0.78740157499999996" header="0.31496062000000002" footer="0.31496062000000002"/>
  <pageSetup paperSize="9" scale="83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112"/>
  <sheetViews>
    <sheetView topLeftCell="A100" zoomScale="80" zoomScaleNormal="80" workbookViewId="0">
      <selection activeCell="A11" sqref="A11:L13"/>
    </sheetView>
  </sheetViews>
  <sheetFormatPr defaultColWidth="9.21875" defaultRowHeight="13.2" x14ac:dyDescent="0.25"/>
  <cols>
    <col min="1" max="2" width="11.33203125" style="1358" customWidth="1"/>
    <col min="3" max="3" width="2" style="1358" customWidth="1"/>
    <col min="4" max="7" width="11.33203125" style="1358" customWidth="1"/>
    <col min="8" max="8" width="9.33203125" style="1358" customWidth="1"/>
    <col min="9" max="16384" width="9.21875" style="1358"/>
  </cols>
  <sheetData>
    <row r="1" spans="1:27" ht="15.9" customHeight="1" x14ac:dyDescent="0.25">
      <c r="A1" s="1745" t="s">
        <v>589</v>
      </c>
      <c r="B1" s="1745"/>
      <c r="C1" s="1745"/>
      <c r="D1" s="1745"/>
      <c r="E1" s="1745"/>
      <c r="F1" s="1745"/>
      <c r="G1" s="1745"/>
      <c r="H1" s="1745"/>
      <c r="I1" s="1359"/>
      <c r="J1" s="1359"/>
      <c r="K1" s="1359"/>
      <c r="L1" s="1359"/>
      <c r="M1" s="1359"/>
      <c r="N1" s="1359"/>
      <c r="O1" s="1359"/>
      <c r="P1" s="1359"/>
      <c r="Q1" s="1359"/>
      <c r="R1" s="1359"/>
      <c r="S1" s="1359"/>
      <c r="T1" s="1359"/>
      <c r="U1" s="1359"/>
      <c r="V1" s="1359"/>
      <c r="W1" s="1359"/>
      <c r="X1" s="1359"/>
      <c r="Y1" s="1359"/>
      <c r="Z1" s="1359"/>
      <c r="AA1" s="1359"/>
    </row>
    <row r="2" spans="1:27" ht="8.25" customHeight="1" x14ac:dyDescent="0.25">
      <c r="A2" s="1360" t="s">
        <v>590</v>
      </c>
      <c r="B2" s="1361"/>
      <c r="C2" s="1362"/>
      <c r="D2" s="1362"/>
      <c r="E2" s="1362"/>
      <c r="F2" s="1362"/>
      <c r="G2" s="1362"/>
      <c r="H2" s="1363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</row>
    <row r="3" spans="1:27" ht="6" customHeight="1" x14ac:dyDescent="0.25">
      <c r="A3" s="1364"/>
      <c r="B3" s="1364"/>
      <c r="C3" s="1364"/>
      <c r="D3" s="1364"/>
      <c r="E3" s="1364"/>
      <c r="F3" s="1364"/>
      <c r="G3" s="1364"/>
      <c r="H3" s="1365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59"/>
      <c r="AA3" s="1359"/>
    </row>
    <row r="4" spans="1:27" x14ac:dyDescent="0.25">
      <c r="A4" s="326" t="s">
        <v>591</v>
      </c>
      <c r="B4" s="326"/>
      <c r="C4" s="1364"/>
      <c r="D4" s="1364"/>
      <c r="E4" s="1364"/>
      <c r="F4" s="1364"/>
      <c r="G4" s="1364"/>
      <c r="H4" s="1365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</row>
    <row r="5" spans="1:27" x14ac:dyDescent="0.25">
      <c r="A5" s="326" t="s">
        <v>592</v>
      </c>
      <c r="B5" s="326"/>
      <c r="C5" s="1366" t="s">
        <v>593</v>
      </c>
      <c r="D5" s="1367">
        <f>SUM(D7:D17)+SUM(H7:H17)</f>
        <v>1</v>
      </c>
      <c r="E5" s="1364"/>
      <c r="F5" s="1364"/>
      <c r="G5" s="1364"/>
      <c r="H5" s="1365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  <c r="X5" s="1359"/>
      <c r="Y5" s="1359"/>
      <c r="Z5" s="1359"/>
      <c r="AA5" s="1359"/>
    </row>
    <row r="6" spans="1:27" x14ac:dyDescent="0.25">
      <c r="A6" s="1368" t="s">
        <v>594</v>
      </c>
      <c r="B6" s="1369" t="s">
        <v>595</v>
      </c>
      <c r="C6" s="1370" t="s">
        <v>596</v>
      </c>
      <c r="D6" s="1364"/>
      <c r="E6" s="1368" t="s">
        <v>594</v>
      </c>
      <c r="F6" s="1369" t="s">
        <v>595</v>
      </c>
      <c r="G6" s="1370" t="s">
        <v>596</v>
      </c>
      <c r="H6" s="1365"/>
      <c r="I6" s="1359"/>
      <c r="J6" s="1359"/>
      <c r="K6" s="1359"/>
      <c r="L6" s="1359"/>
      <c r="M6" s="1359"/>
      <c r="N6" s="1359"/>
      <c r="O6" s="1359"/>
      <c r="P6" s="1359"/>
      <c r="Q6" s="1359"/>
      <c r="R6" s="1359"/>
      <c r="S6" s="1359"/>
      <c r="T6" s="1359"/>
      <c r="U6" s="1359"/>
      <c r="V6" s="1359"/>
      <c r="W6" s="1359"/>
      <c r="X6" s="1359"/>
      <c r="Y6" s="1359"/>
      <c r="Z6" s="1359"/>
      <c r="AA6" s="1359"/>
    </row>
    <row r="7" spans="1:27" x14ac:dyDescent="0.25">
      <c r="A7" s="1371" t="s">
        <v>597</v>
      </c>
      <c r="B7" s="1372">
        <v>4</v>
      </c>
      <c r="C7" s="1373">
        <v>3</v>
      </c>
      <c r="D7" s="1374">
        <f t="shared" ref="D7:D17" si="0">IF(C7&gt;0,1,0)</f>
        <v>1</v>
      </c>
      <c r="E7" s="1371" t="s">
        <v>598</v>
      </c>
      <c r="F7" s="1372"/>
      <c r="G7" s="1373"/>
      <c r="H7" s="1374">
        <f t="shared" ref="H7:H17" si="1">IF(G7&gt;0,1,0)</f>
        <v>0</v>
      </c>
      <c r="I7" s="1359"/>
      <c r="J7" s="1359"/>
      <c r="K7" s="1359"/>
      <c r="L7" s="1359"/>
      <c r="M7" s="1359"/>
      <c r="N7" s="1359"/>
      <c r="O7" s="1359"/>
      <c r="P7" s="1359"/>
      <c r="Q7" s="1359"/>
      <c r="R7" s="1359"/>
      <c r="S7" s="1359"/>
      <c r="T7" s="1359"/>
      <c r="U7" s="1359"/>
      <c r="V7" s="1359"/>
      <c r="W7" s="1359"/>
      <c r="X7" s="1359"/>
      <c r="Y7" s="1359"/>
      <c r="Z7" s="1359"/>
      <c r="AA7" s="1359"/>
    </row>
    <row r="8" spans="1:27" x14ac:dyDescent="0.25">
      <c r="A8" s="1375" t="s">
        <v>599</v>
      </c>
      <c r="B8" s="1376"/>
      <c r="C8" s="1377"/>
      <c r="D8" s="1374">
        <f t="shared" si="0"/>
        <v>0</v>
      </c>
      <c r="E8" s="1375" t="s">
        <v>600</v>
      </c>
      <c r="F8" s="1376"/>
      <c r="G8" s="1377"/>
      <c r="H8" s="1374">
        <f t="shared" si="1"/>
        <v>0</v>
      </c>
      <c r="I8" s="1359"/>
      <c r="J8" s="1359"/>
      <c r="K8" s="1359"/>
      <c r="L8" s="1359"/>
      <c r="M8" s="1359"/>
      <c r="N8" s="1359"/>
      <c r="O8" s="1359"/>
      <c r="P8" s="1359"/>
      <c r="Q8" s="1359"/>
      <c r="R8" s="1359"/>
      <c r="S8" s="1359"/>
      <c r="T8" s="1359"/>
      <c r="U8" s="1359"/>
      <c r="V8" s="1359"/>
      <c r="W8" s="1359"/>
      <c r="X8" s="1359"/>
      <c r="Y8" s="1359"/>
      <c r="Z8" s="1359"/>
      <c r="AA8" s="1359"/>
    </row>
    <row r="9" spans="1:27" ht="12.75" customHeight="1" x14ac:dyDescent="0.25">
      <c r="A9" s="1375" t="s">
        <v>601</v>
      </c>
      <c r="B9" s="1376"/>
      <c r="C9" s="1377"/>
      <c r="D9" s="1374">
        <f t="shared" si="0"/>
        <v>0</v>
      </c>
      <c r="E9" s="1375" t="s">
        <v>602</v>
      </c>
      <c r="F9" s="1376"/>
      <c r="G9" s="1377"/>
      <c r="H9" s="1374">
        <f t="shared" si="1"/>
        <v>0</v>
      </c>
      <c r="I9" s="1359"/>
      <c r="J9" s="1359"/>
      <c r="K9" s="1359"/>
      <c r="L9" s="1359"/>
      <c r="M9" s="1359"/>
      <c r="N9" s="1359"/>
      <c r="O9" s="1359"/>
      <c r="P9" s="1359"/>
      <c r="Q9" s="1359"/>
      <c r="R9" s="1359"/>
      <c r="S9" s="1359"/>
      <c r="T9" s="1359"/>
      <c r="U9" s="1359"/>
      <c r="V9" s="1359"/>
      <c r="W9" s="1359"/>
      <c r="X9" s="1359"/>
      <c r="Y9" s="1359"/>
      <c r="Z9" s="1359"/>
      <c r="AA9" s="1359"/>
    </row>
    <row r="10" spans="1:27" x14ac:dyDescent="0.25">
      <c r="A10" s="1375" t="s">
        <v>603</v>
      </c>
      <c r="B10" s="1376"/>
      <c r="C10" s="1377"/>
      <c r="D10" s="1374">
        <f t="shared" si="0"/>
        <v>0</v>
      </c>
      <c r="E10" s="1375" t="s">
        <v>604</v>
      </c>
      <c r="F10" s="1376"/>
      <c r="G10" s="1377"/>
      <c r="H10" s="1374">
        <f t="shared" si="1"/>
        <v>0</v>
      </c>
      <c r="I10" s="1359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59"/>
      <c r="X10" s="1359"/>
      <c r="Y10" s="1359"/>
      <c r="Z10" s="1359"/>
      <c r="AA10" s="1359"/>
    </row>
    <row r="11" spans="1:27" x14ac:dyDescent="0.25">
      <c r="A11" s="1375" t="s">
        <v>605</v>
      </c>
      <c r="B11" s="1376"/>
      <c r="C11" s="1377"/>
      <c r="D11" s="1374">
        <f t="shared" si="0"/>
        <v>0</v>
      </c>
      <c r="E11" s="1375" t="s">
        <v>606</v>
      </c>
      <c r="F11" s="1376"/>
      <c r="G11" s="1377"/>
      <c r="H11" s="1374">
        <f t="shared" si="1"/>
        <v>0</v>
      </c>
      <c r="I11" s="1359"/>
      <c r="J11" s="1359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59"/>
      <c r="W11" s="1359"/>
      <c r="X11" s="1359"/>
      <c r="Y11" s="1359"/>
      <c r="Z11" s="1359"/>
      <c r="AA11" s="1359"/>
    </row>
    <row r="12" spans="1:27" x14ac:dyDescent="0.25">
      <c r="A12" s="1375" t="s">
        <v>607</v>
      </c>
      <c r="B12" s="1376"/>
      <c r="C12" s="1377"/>
      <c r="D12" s="1374">
        <f t="shared" si="0"/>
        <v>0</v>
      </c>
      <c r="E12" s="1375" t="s">
        <v>608</v>
      </c>
      <c r="F12" s="1376"/>
      <c r="G12" s="1377"/>
      <c r="H12" s="1374">
        <f t="shared" si="1"/>
        <v>0</v>
      </c>
      <c r="I12" s="1359"/>
      <c r="J12" s="1359"/>
      <c r="K12" s="1359"/>
      <c r="L12" s="1359"/>
      <c r="M12" s="1359"/>
      <c r="N12" s="1359"/>
      <c r="O12" s="1359"/>
      <c r="P12" s="1359"/>
      <c r="Q12" s="1359"/>
      <c r="R12" s="1359"/>
      <c r="S12" s="1359"/>
      <c r="T12" s="1359"/>
      <c r="U12" s="1359"/>
      <c r="V12" s="1359"/>
      <c r="W12" s="1359"/>
      <c r="X12" s="1359"/>
      <c r="Y12" s="1359"/>
      <c r="Z12" s="1359"/>
      <c r="AA12" s="1359"/>
    </row>
    <row r="13" spans="1:27" x14ac:dyDescent="0.25">
      <c r="A13" s="1375" t="s">
        <v>609</v>
      </c>
      <c r="B13" s="1376"/>
      <c r="C13" s="1377"/>
      <c r="D13" s="1374">
        <f t="shared" si="0"/>
        <v>0</v>
      </c>
      <c r="E13" s="1375" t="s">
        <v>610</v>
      </c>
      <c r="F13" s="1376"/>
      <c r="G13" s="1377"/>
      <c r="H13" s="1374">
        <f t="shared" si="1"/>
        <v>0</v>
      </c>
      <c r="I13" s="1359"/>
      <c r="J13" s="1359"/>
      <c r="K13" s="1359"/>
      <c r="L13" s="1359"/>
      <c r="M13" s="1359"/>
      <c r="N13" s="1359"/>
      <c r="O13" s="1359"/>
      <c r="P13" s="1359"/>
      <c r="Q13" s="1359"/>
      <c r="R13" s="1359"/>
      <c r="S13" s="1359"/>
      <c r="T13" s="1359"/>
      <c r="U13" s="1359"/>
      <c r="V13" s="1359"/>
      <c r="W13" s="1359"/>
      <c r="X13" s="1359"/>
      <c r="Y13" s="1359"/>
      <c r="Z13" s="1359"/>
      <c r="AA13" s="1359"/>
    </row>
    <row r="14" spans="1:27" ht="9.4499999999999993" customHeight="1" x14ac:dyDescent="0.25">
      <c r="A14" s="1375" t="s">
        <v>611</v>
      </c>
      <c r="B14" s="1376"/>
      <c r="C14" s="1377"/>
      <c r="D14" s="1374">
        <f t="shared" si="0"/>
        <v>0</v>
      </c>
      <c r="E14" s="1375" t="s">
        <v>612</v>
      </c>
      <c r="F14" s="1376"/>
      <c r="G14" s="1377"/>
      <c r="H14" s="1374">
        <f t="shared" si="1"/>
        <v>0</v>
      </c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</row>
    <row r="15" spans="1:27" x14ac:dyDescent="0.25">
      <c r="A15" s="1375" t="s">
        <v>613</v>
      </c>
      <c r="B15" s="1376"/>
      <c r="C15" s="1377"/>
      <c r="D15" s="1374">
        <f t="shared" si="0"/>
        <v>0</v>
      </c>
      <c r="E15" s="1375" t="s">
        <v>614</v>
      </c>
      <c r="F15" s="1376"/>
      <c r="G15" s="1377"/>
      <c r="H15" s="1374">
        <f t="shared" si="1"/>
        <v>0</v>
      </c>
      <c r="I15" s="1359"/>
      <c r="J15" s="1359"/>
      <c r="K15" s="1359"/>
      <c r="L15" s="1359"/>
      <c r="M15" s="1359"/>
      <c r="N15" s="1359"/>
      <c r="O15" s="1359"/>
      <c r="P15" s="1359"/>
      <c r="Q15" s="1359"/>
      <c r="R15" s="1359"/>
      <c r="S15" s="1359"/>
      <c r="T15" s="1359"/>
      <c r="U15" s="1359"/>
      <c r="V15" s="1359"/>
      <c r="W15" s="1359"/>
      <c r="X15" s="1359"/>
      <c r="Y15" s="1359"/>
      <c r="Z15" s="1359"/>
      <c r="AA15" s="1359"/>
    </row>
    <row r="16" spans="1:27" x14ac:dyDescent="0.25">
      <c r="A16" s="1375" t="s">
        <v>615</v>
      </c>
      <c r="B16" s="1376"/>
      <c r="C16" s="1377"/>
      <c r="D16" s="1374">
        <f t="shared" si="0"/>
        <v>0</v>
      </c>
      <c r="E16" s="1375" t="s">
        <v>616</v>
      </c>
      <c r="F16" s="1376"/>
      <c r="G16" s="1377"/>
      <c r="H16" s="1374">
        <f t="shared" si="1"/>
        <v>0</v>
      </c>
      <c r="I16" s="1359"/>
      <c r="J16" s="1359"/>
      <c r="K16" s="1359"/>
      <c r="L16" s="1359"/>
      <c r="M16" s="1359"/>
      <c r="N16" s="1359"/>
      <c r="O16" s="1359"/>
      <c r="P16" s="1359"/>
      <c r="Q16" s="1359"/>
      <c r="R16" s="1359"/>
      <c r="S16" s="1359"/>
      <c r="T16" s="1359"/>
      <c r="U16" s="1359"/>
      <c r="V16" s="1359"/>
      <c r="W16" s="1359"/>
      <c r="X16" s="1359"/>
      <c r="Y16" s="1359"/>
      <c r="Z16" s="1359"/>
      <c r="AA16" s="1359"/>
    </row>
    <row r="17" spans="1:27" x14ac:dyDescent="0.25">
      <c r="A17" s="1378" t="s">
        <v>617</v>
      </c>
      <c r="B17" s="1379"/>
      <c r="C17" s="1380"/>
      <c r="D17" s="1374">
        <f t="shared" si="0"/>
        <v>0</v>
      </c>
      <c r="E17" s="1378" t="s">
        <v>618</v>
      </c>
      <c r="F17" s="1379"/>
      <c r="G17" s="1380"/>
      <c r="H17" s="1374">
        <f t="shared" si="1"/>
        <v>0</v>
      </c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59"/>
      <c r="X17" s="1359"/>
      <c r="Y17" s="1359"/>
      <c r="Z17" s="1359"/>
      <c r="AA17" s="1359"/>
    </row>
    <row r="18" spans="1:27" ht="6" customHeight="1" x14ac:dyDescent="0.25">
      <c r="A18" s="326"/>
      <c r="B18" s="326"/>
      <c r="C18" s="1364"/>
      <c r="D18" s="1364"/>
      <c r="E18" s="1364"/>
      <c r="F18" s="1364"/>
      <c r="G18" s="1364"/>
      <c r="H18" s="1365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59"/>
      <c r="W18" s="1359"/>
      <c r="X18" s="1359"/>
      <c r="Y18" s="1359"/>
      <c r="Z18" s="1359"/>
      <c r="AA18" s="1359"/>
    </row>
    <row r="19" spans="1:27" ht="15.75" customHeight="1" x14ac:dyDescent="0.25">
      <c r="A19" s="1381" t="s">
        <v>594</v>
      </c>
      <c r="B19" s="1382"/>
      <c r="C19" s="1369" t="s">
        <v>164</v>
      </c>
      <c r="D19" s="1369" t="s">
        <v>619</v>
      </c>
      <c r="E19" s="1369" t="s">
        <v>620</v>
      </c>
      <c r="F19" s="1369" t="s">
        <v>621</v>
      </c>
      <c r="G19" s="1370" t="s">
        <v>622</v>
      </c>
      <c r="H19" s="1365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</row>
    <row r="20" spans="1:27" x14ac:dyDescent="0.25">
      <c r="A20" s="1383" t="s">
        <v>623</v>
      </c>
      <c r="B20" s="1384"/>
      <c r="C20" s="1385">
        <f>ROUND((SUM(B7:B17)+SUM(F7:F17))/D5,2)</f>
        <v>4</v>
      </c>
      <c r="D20" s="1385">
        <f>ROUND((SUM(C7:C17)+SUM(G7:G17))/D5,2)</f>
        <v>3</v>
      </c>
      <c r="E20" s="1385">
        <v>0.3</v>
      </c>
      <c r="F20" s="1385">
        <v>0.3</v>
      </c>
      <c r="G20" s="1386">
        <f t="shared" ref="G20:G21" si="2">ROUND(C20*D20*E20*F20,5)</f>
        <v>1.08</v>
      </c>
      <c r="H20" s="1365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</row>
    <row r="21" spans="1:27" ht="24.9" customHeight="1" x14ac:dyDescent="0.25">
      <c r="A21" s="1746" t="s">
        <v>624</v>
      </c>
      <c r="B21" s="1746"/>
      <c r="C21" s="1387">
        <v>2</v>
      </c>
      <c r="D21" s="1388">
        <v>5.5</v>
      </c>
      <c r="E21" s="1388">
        <v>0.2</v>
      </c>
      <c r="F21" s="1388">
        <v>0.3</v>
      </c>
      <c r="G21" s="1389">
        <f t="shared" si="2"/>
        <v>0.66</v>
      </c>
      <c r="H21" s="1365"/>
      <c r="I21" s="1359"/>
      <c r="J21" s="1359"/>
      <c r="K21" s="1359"/>
      <c r="L21" s="1359"/>
      <c r="M21" s="1359"/>
      <c r="N21" s="1359"/>
      <c r="O21" s="1359"/>
      <c r="P21" s="1359"/>
      <c r="Q21" s="1359"/>
      <c r="R21" s="1359"/>
      <c r="S21" s="1359"/>
      <c r="T21" s="1359"/>
      <c r="U21" s="1359"/>
      <c r="V21" s="1359"/>
      <c r="W21" s="1359"/>
      <c r="X21" s="1359"/>
      <c r="Y21" s="1359"/>
      <c r="Z21" s="1359"/>
      <c r="AA21" s="1359"/>
    </row>
    <row r="22" spans="1:27" x14ac:dyDescent="0.25">
      <c r="A22" s="1390"/>
      <c r="B22" s="1390"/>
      <c r="C22" s="1390"/>
      <c r="D22" s="1391"/>
      <c r="E22" s="1391"/>
      <c r="F22" s="1392" t="s">
        <v>625</v>
      </c>
      <c r="G22" s="1393">
        <f>SUM(G20:G21)</f>
        <v>1.7400000000000002</v>
      </c>
      <c r="H22" s="1365"/>
      <c r="I22" s="1359"/>
      <c r="J22" s="1359"/>
      <c r="K22" s="1359"/>
      <c r="L22" s="1359"/>
      <c r="M22" s="1359"/>
      <c r="N22" s="1359"/>
      <c r="O22" s="1359"/>
      <c r="P22" s="1359"/>
      <c r="Q22" s="1359"/>
      <c r="R22" s="1359"/>
      <c r="S22" s="1359"/>
      <c r="T22" s="1359"/>
      <c r="U22" s="1359"/>
      <c r="V22" s="1359"/>
      <c r="W22" s="1359"/>
      <c r="X22" s="1359"/>
      <c r="Y22" s="1359"/>
      <c r="Z22" s="1359"/>
      <c r="AA22" s="1359"/>
    </row>
    <row r="23" spans="1:27" x14ac:dyDescent="0.25">
      <c r="A23" s="326" t="s">
        <v>626</v>
      </c>
      <c r="B23" s="326"/>
      <c r="C23" s="1364"/>
      <c r="D23" s="1364"/>
      <c r="E23" s="1364"/>
      <c r="F23" s="1364"/>
      <c r="G23" s="1364"/>
      <c r="H23" s="1365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59"/>
      <c r="X23" s="1359"/>
      <c r="Y23" s="1359"/>
      <c r="Z23" s="1359"/>
      <c r="AA23" s="1359"/>
    </row>
    <row r="24" spans="1:27" x14ac:dyDescent="0.25">
      <c r="A24" s="326" t="s">
        <v>627</v>
      </c>
      <c r="B24" s="326"/>
      <c r="C24" s="1366" t="s">
        <v>593</v>
      </c>
      <c r="D24" s="1367">
        <f>SUM(D26:D36)+SUM(H26:H36)</f>
        <v>1</v>
      </c>
      <c r="E24" s="1364"/>
      <c r="F24" s="1364"/>
      <c r="G24" s="1364"/>
      <c r="H24" s="1365"/>
      <c r="I24" s="1359"/>
      <c r="J24" s="1359"/>
      <c r="K24" s="1359"/>
      <c r="L24" s="1359"/>
      <c r="M24" s="1359"/>
      <c r="N24" s="1359"/>
      <c r="O24" s="1359"/>
      <c r="P24" s="1359"/>
      <c r="Q24" s="1359"/>
      <c r="R24" s="1359"/>
      <c r="S24" s="1359"/>
      <c r="T24" s="1359"/>
      <c r="U24" s="1359"/>
      <c r="V24" s="1359"/>
      <c r="W24" s="1359"/>
      <c r="X24" s="1359"/>
      <c r="Y24" s="1359"/>
      <c r="Z24" s="1359"/>
      <c r="AA24" s="1359"/>
    </row>
    <row r="25" spans="1:27" x14ac:dyDescent="0.25">
      <c r="A25" s="1368" t="s">
        <v>594</v>
      </c>
      <c r="B25" s="1369" t="s">
        <v>595</v>
      </c>
      <c r="C25" s="1370" t="s">
        <v>596</v>
      </c>
      <c r="D25" s="1364"/>
      <c r="E25" s="1368" t="s">
        <v>594</v>
      </c>
      <c r="F25" s="1369" t="s">
        <v>595</v>
      </c>
      <c r="G25" s="1370" t="s">
        <v>596</v>
      </c>
      <c r="H25" s="1365"/>
      <c r="I25" s="1359"/>
      <c r="J25" s="1359"/>
      <c r="K25" s="1359"/>
      <c r="L25" s="1359"/>
      <c r="M25" s="1359"/>
      <c r="N25" s="1359"/>
      <c r="O25" s="1359"/>
      <c r="P25" s="1359"/>
      <c r="Q25" s="1359"/>
      <c r="R25" s="1359"/>
      <c r="S25" s="1359"/>
      <c r="T25" s="1359"/>
      <c r="U25" s="1359"/>
      <c r="V25" s="1359"/>
      <c r="W25" s="1359"/>
      <c r="X25" s="1359"/>
      <c r="Y25" s="1359"/>
      <c r="Z25" s="1359"/>
      <c r="AA25" s="1359"/>
    </row>
    <row r="26" spans="1:27" x14ac:dyDescent="0.25">
      <c r="A26" s="1371" t="s">
        <v>597</v>
      </c>
      <c r="B26" s="1372">
        <v>4</v>
      </c>
      <c r="C26" s="1373">
        <v>4</v>
      </c>
      <c r="D26" s="1374">
        <f t="shared" ref="D26:D36" si="3">IF(C26&gt;0,1,0)</f>
        <v>1</v>
      </c>
      <c r="E26" s="1371" t="s">
        <v>598</v>
      </c>
      <c r="F26" s="1372"/>
      <c r="G26" s="1373"/>
      <c r="H26" s="1374">
        <f t="shared" ref="H26:H36" si="4">IF(G26&gt;0,1,0)</f>
        <v>0</v>
      </c>
      <c r="I26" s="1359"/>
      <c r="J26" s="1359"/>
      <c r="K26" s="1359"/>
      <c r="L26" s="1359"/>
      <c r="M26" s="1359"/>
      <c r="N26" s="1359"/>
      <c r="O26" s="1359"/>
      <c r="P26" s="1359"/>
      <c r="Q26" s="1359"/>
      <c r="R26" s="1359"/>
      <c r="S26" s="1359"/>
      <c r="T26" s="1359"/>
      <c r="U26" s="1359"/>
      <c r="V26" s="1359"/>
      <c r="W26" s="1359"/>
      <c r="X26" s="1359"/>
      <c r="Y26" s="1359"/>
      <c r="Z26" s="1359"/>
      <c r="AA26" s="1359"/>
    </row>
    <row r="27" spans="1:27" x14ac:dyDescent="0.25">
      <c r="A27" s="1375" t="s">
        <v>599</v>
      </c>
      <c r="B27" s="1376"/>
      <c r="C27" s="1377"/>
      <c r="D27" s="1374">
        <f t="shared" si="3"/>
        <v>0</v>
      </c>
      <c r="E27" s="1375" t="s">
        <v>600</v>
      </c>
      <c r="F27" s="1376"/>
      <c r="G27" s="1377"/>
      <c r="H27" s="1374">
        <f t="shared" si="4"/>
        <v>0</v>
      </c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59"/>
      <c r="X27" s="1359"/>
      <c r="Y27" s="1359"/>
      <c r="Z27" s="1359"/>
      <c r="AA27" s="1359"/>
    </row>
    <row r="28" spans="1:27" ht="9.4499999999999993" customHeight="1" x14ac:dyDescent="0.25">
      <c r="A28" s="1375" t="s">
        <v>601</v>
      </c>
      <c r="B28" s="1376"/>
      <c r="C28" s="1377"/>
      <c r="D28" s="1374">
        <f t="shared" si="3"/>
        <v>0</v>
      </c>
      <c r="E28" s="1375" t="s">
        <v>602</v>
      </c>
      <c r="F28" s="1376"/>
      <c r="G28" s="1377"/>
      <c r="H28" s="1374">
        <f t="shared" si="4"/>
        <v>0</v>
      </c>
      <c r="I28" s="1359"/>
      <c r="J28" s="1359"/>
      <c r="K28" s="1359"/>
      <c r="L28" s="1359"/>
      <c r="M28" s="1359"/>
      <c r="N28" s="1359"/>
      <c r="O28" s="1359"/>
      <c r="P28" s="1359"/>
      <c r="Q28" s="1359"/>
      <c r="R28" s="1359"/>
      <c r="S28" s="1359"/>
      <c r="T28" s="1359"/>
      <c r="U28" s="1359"/>
      <c r="V28" s="1359"/>
      <c r="W28" s="1359"/>
      <c r="X28" s="1359"/>
      <c r="Y28" s="1359"/>
      <c r="Z28" s="1359"/>
      <c r="AA28" s="1359"/>
    </row>
    <row r="29" spans="1:27" x14ac:dyDescent="0.25">
      <c r="A29" s="1375" t="s">
        <v>603</v>
      </c>
      <c r="B29" s="1376"/>
      <c r="C29" s="1377"/>
      <c r="D29" s="1374">
        <f t="shared" si="3"/>
        <v>0</v>
      </c>
      <c r="E29" s="1375" t="s">
        <v>604</v>
      </c>
      <c r="F29" s="1376"/>
      <c r="G29" s="1377"/>
      <c r="H29" s="1374">
        <f t="shared" si="4"/>
        <v>0</v>
      </c>
      <c r="I29" s="1359"/>
      <c r="J29" s="1359"/>
      <c r="K29" s="1359"/>
      <c r="L29" s="1359"/>
      <c r="M29" s="1359"/>
      <c r="N29" s="1359"/>
      <c r="O29" s="1359"/>
      <c r="P29" s="1359"/>
      <c r="Q29" s="1359"/>
      <c r="R29" s="1359"/>
      <c r="S29" s="1359"/>
      <c r="T29" s="1359"/>
      <c r="U29" s="1359"/>
      <c r="V29" s="1359"/>
      <c r="W29" s="1359"/>
      <c r="X29" s="1359"/>
      <c r="Y29" s="1359"/>
      <c r="Z29" s="1359"/>
      <c r="AA29" s="1359"/>
    </row>
    <row r="30" spans="1:27" x14ac:dyDescent="0.25">
      <c r="A30" s="1375" t="s">
        <v>605</v>
      </c>
      <c r="B30" s="1376"/>
      <c r="C30" s="1377"/>
      <c r="D30" s="1374">
        <f t="shared" si="3"/>
        <v>0</v>
      </c>
      <c r="E30" s="1375" t="s">
        <v>606</v>
      </c>
      <c r="F30" s="1376"/>
      <c r="G30" s="1377"/>
      <c r="H30" s="1374">
        <f t="shared" si="4"/>
        <v>0</v>
      </c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</row>
    <row r="31" spans="1:27" x14ac:dyDescent="0.25">
      <c r="A31" s="1375" t="s">
        <v>607</v>
      </c>
      <c r="B31" s="1376"/>
      <c r="C31" s="1377"/>
      <c r="D31" s="1374">
        <f t="shared" si="3"/>
        <v>0</v>
      </c>
      <c r="E31" s="1375" t="s">
        <v>608</v>
      </c>
      <c r="F31" s="1376"/>
      <c r="G31" s="1377"/>
      <c r="H31" s="1374">
        <f t="shared" si="4"/>
        <v>0</v>
      </c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59"/>
      <c r="AA31" s="1359"/>
    </row>
    <row r="32" spans="1:27" x14ac:dyDescent="0.25">
      <c r="A32" s="1375" t="s">
        <v>609</v>
      </c>
      <c r="B32" s="1376"/>
      <c r="C32" s="1377"/>
      <c r="D32" s="1374">
        <f t="shared" si="3"/>
        <v>0</v>
      </c>
      <c r="E32" s="1375" t="s">
        <v>610</v>
      </c>
      <c r="F32" s="1376"/>
      <c r="G32" s="1377"/>
      <c r="H32" s="1374">
        <f t="shared" si="4"/>
        <v>0</v>
      </c>
      <c r="I32" s="1359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9"/>
      <c r="V32" s="1359"/>
      <c r="W32" s="1359"/>
      <c r="X32" s="1359"/>
      <c r="Y32" s="1359"/>
      <c r="Z32" s="1359"/>
      <c r="AA32" s="1359"/>
    </row>
    <row r="33" spans="1:27" x14ac:dyDescent="0.25">
      <c r="A33" s="1375" t="s">
        <v>611</v>
      </c>
      <c r="B33" s="1376"/>
      <c r="C33" s="1377"/>
      <c r="D33" s="1374">
        <f t="shared" si="3"/>
        <v>0</v>
      </c>
      <c r="E33" s="1375" t="s">
        <v>612</v>
      </c>
      <c r="F33" s="1376"/>
      <c r="G33" s="1377"/>
      <c r="H33" s="1374">
        <f t="shared" si="4"/>
        <v>0</v>
      </c>
      <c r="I33" s="1359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59"/>
      <c r="W33" s="1359"/>
      <c r="X33" s="1359"/>
      <c r="Y33" s="1359"/>
      <c r="Z33" s="1359"/>
      <c r="AA33" s="1359"/>
    </row>
    <row r="34" spans="1:27" x14ac:dyDescent="0.25">
      <c r="A34" s="1375" t="s">
        <v>613</v>
      </c>
      <c r="B34" s="1376"/>
      <c r="C34" s="1377"/>
      <c r="D34" s="1374">
        <f t="shared" si="3"/>
        <v>0</v>
      </c>
      <c r="E34" s="1375" t="s">
        <v>614</v>
      </c>
      <c r="F34" s="1376"/>
      <c r="G34" s="1377"/>
      <c r="H34" s="1374">
        <f t="shared" si="4"/>
        <v>0</v>
      </c>
      <c r="I34" s="1359"/>
      <c r="J34" s="1359"/>
      <c r="K34" s="1359"/>
      <c r="L34" s="1359"/>
      <c r="M34" s="1359"/>
      <c r="N34" s="1359"/>
      <c r="O34" s="1359"/>
      <c r="P34" s="1359"/>
      <c r="Q34" s="1359"/>
      <c r="R34" s="1359"/>
      <c r="S34" s="1359"/>
      <c r="T34" s="1359"/>
      <c r="U34" s="1359"/>
      <c r="V34" s="1359"/>
      <c r="W34" s="1359"/>
      <c r="X34" s="1359"/>
      <c r="Y34" s="1359"/>
      <c r="Z34" s="1359"/>
      <c r="AA34" s="1359"/>
    </row>
    <row r="35" spans="1:27" x14ac:dyDescent="0.25">
      <c r="A35" s="1375" t="s">
        <v>615</v>
      </c>
      <c r="B35" s="1376"/>
      <c r="C35" s="1377"/>
      <c r="D35" s="1374">
        <f t="shared" si="3"/>
        <v>0</v>
      </c>
      <c r="E35" s="1375" t="s">
        <v>616</v>
      </c>
      <c r="F35" s="1376"/>
      <c r="G35" s="1377"/>
      <c r="H35" s="1374">
        <f t="shared" si="4"/>
        <v>0</v>
      </c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59"/>
      <c r="X35" s="1359"/>
      <c r="Y35" s="1359"/>
      <c r="Z35" s="1359"/>
      <c r="AA35" s="1359"/>
    </row>
    <row r="36" spans="1:27" x14ac:dyDescent="0.25">
      <c r="A36" s="1378" t="s">
        <v>617</v>
      </c>
      <c r="B36" s="1379"/>
      <c r="C36" s="1380"/>
      <c r="D36" s="1374">
        <f t="shared" si="3"/>
        <v>0</v>
      </c>
      <c r="E36" s="1378" t="s">
        <v>618</v>
      </c>
      <c r="F36" s="1379"/>
      <c r="G36" s="1380"/>
      <c r="H36" s="1374">
        <f t="shared" si="4"/>
        <v>0</v>
      </c>
      <c r="I36" s="1359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9"/>
      <c r="V36" s="1359"/>
      <c r="W36" s="1359"/>
      <c r="X36" s="1359"/>
      <c r="Y36" s="1359"/>
      <c r="Z36" s="1359"/>
      <c r="AA36" s="1359"/>
    </row>
    <row r="37" spans="1:27" x14ac:dyDescent="0.25">
      <c r="A37" s="326"/>
      <c r="B37" s="326"/>
      <c r="C37" s="1364"/>
      <c r="D37" s="1364"/>
      <c r="E37" s="1364"/>
      <c r="F37" s="1364"/>
      <c r="G37" s="1364"/>
      <c r="H37" s="1365"/>
      <c r="I37" s="1359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59"/>
      <c r="V37" s="1359"/>
      <c r="W37" s="1359"/>
      <c r="X37" s="1359"/>
      <c r="Y37" s="1359"/>
      <c r="Z37" s="1359"/>
      <c r="AA37" s="1359"/>
    </row>
    <row r="38" spans="1:27" x14ac:dyDescent="0.25">
      <c r="A38" s="1381" t="s">
        <v>594</v>
      </c>
      <c r="B38" s="1382"/>
      <c r="C38" s="1369" t="s">
        <v>164</v>
      </c>
      <c r="D38" s="1369" t="s">
        <v>628</v>
      </c>
      <c r="E38" s="1369" t="s">
        <v>620</v>
      </c>
      <c r="F38" s="1369" t="s">
        <v>621</v>
      </c>
      <c r="G38" s="1370" t="s">
        <v>622</v>
      </c>
      <c r="H38" s="1365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59"/>
      <c r="U38" s="1359"/>
      <c r="V38" s="1359"/>
      <c r="W38" s="1359"/>
      <c r="X38" s="1359"/>
      <c r="Y38" s="1359"/>
      <c r="Z38" s="1359"/>
      <c r="AA38" s="1359"/>
    </row>
    <row r="39" spans="1:27" ht="12.75" customHeight="1" x14ac:dyDescent="0.25">
      <c r="A39" s="1747" t="s">
        <v>629</v>
      </c>
      <c r="B39" s="1747"/>
      <c r="C39" s="1385">
        <f>ROUND((SUM(B26:B36)+SUM(F26:F36))/D24,2)</f>
        <v>4</v>
      </c>
      <c r="D39" s="1385">
        <f>ROUND((SUM(C26:C36)+SUM(G26:G36))/D24,2)</f>
        <v>4</v>
      </c>
      <c r="E39" s="1385">
        <v>0.3</v>
      </c>
      <c r="F39" s="1385">
        <v>0.3</v>
      </c>
      <c r="G39" s="1386">
        <f t="shared" ref="G39:G42" si="5">ROUND(C39*D39*E39*F39,5)</f>
        <v>1.44</v>
      </c>
      <c r="H39" s="1365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59"/>
      <c r="X39" s="1359"/>
      <c r="Y39" s="1359"/>
      <c r="Z39" s="1359"/>
      <c r="AA39" s="1359"/>
    </row>
    <row r="40" spans="1:27" ht="24.9" customHeight="1" x14ac:dyDescent="0.25">
      <c r="A40" s="1744" t="s">
        <v>630</v>
      </c>
      <c r="B40" s="1744"/>
      <c r="C40" s="1394">
        <v>2</v>
      </c>
      <c r="D40" s="1395">
        <v>5.5</v>
      </c>
      <c r="E40" s="1395">
        <v>0.2</v>
      </c>
      <c r="F40" s="1395">
        <v>0.3</v>
      </c>
      <c r="G40" s="1396">
        <f t="shared" si="5"/>
        <v>0.66</v>
      </c>
      <c r="H40" s="1365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</row>
    <row r="41" spans="1:27" ht="24.9" customHeight="1" x14ac:dyDescent="0.25">
      <c r="A41" s="1744" t="s">
        <v>631</v>
      </c>
      <c r="B41" s="1744"/>
      <c r="C41" s="1394">
        <v>4</v>
      </c>
      <c r="D41" s="1395">
        <v>6</v>
      </c>
      <c r="E41" s="1395">
        <v>0.25</v>
      </c>
      <c r="F41" s="1395">
        <v>0.15</v>
      </c>
      <c r="G41" s="1396">
        <f t="shared" si="5"/>
        <v>0.9</v>
      </c>
      <c r="H41" s="1365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</row>
    <row r="42" spans="1:27" ht="24.9" customHeight="1" x14ac:dyDescent="0.25">
      <c r="A42" s="1746" t="s">
        <v>632</v>
      </c>
      <c r="B42" s="1746"/>
      <c r="C42" s="1388">
        <v>2</v>
      </c>
      <c r="D42" s="1388">
        <v>5.5</v>
      </c>
      <c r="E42" s="1388">
        <v>0.25</v>
      </c>
      <c r="F42" s="1388">
        <v>0.3</v>
      </c>
      <c r="G42" s="1389">
        <f t="shared" si="5"/>
        <v>0.82499999999999996</v>
      </c>
      <c r="H42" s="1365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59"/>
      <c r="W42" s="1359"/>
      <c r="X42" s="1359"/>
      <c r="Y42" s="1359"/>
      <c r="Z42" s="1359"/>
      <c r="AA42" s="1359"/>
    </row>
    <row r="43" spans="1:27" x14ac:dyDescent="0.25">
      <c r="A43" s="1390"/>
      <c r="B43" s="1390"/>
      <c r="C43" s="1390"/>
      <c r="D43" s="1391"/>
      <c r="E43" s="1391"/>
      <c r="F43" s="1397" t="s">
        <v>633</v>
      </c>
      <c r="G43" s="1398">
        <f>SUM(G39:G42)</f>
        <v>3.8250000000000002</v>
      </c>
      <c r="H43" s="1365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</row>
    <row r="44" spans="1:27" x14ac:dyDescent="0.25">
      <c r="A44" s="326" t="s">
        <v>634</v>
      </c>
      <c r="B44" s="326"/>
      <c r="C44" s="1364"/>
      <c r="D44" s="1364"/>
      <c r="E44" s="1364"/>
      <c r="F44" s="1364"/>
      <c r="G44" s="1364"/>
      <c r="H44" s="1365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</row>
    <row r="45" spans="1:27" ht="9.4499999999999993" customHeight="1" x14ac:dyDescent="0.25">
      <c r="A45" s="1381" t="s">
        <v>594</v>
      </c>
      <c r="B45" s="1382"/>
      <c r="C45" s="1369" t="s">
        <v>164</v>
      </c>
      <c r="D45" s="1369" t="s">
        <v>628</v>
      </c>
      <c r="E45" s="1369" t="s">
        <v>620</v>
      </c>
      <c r="F45" s="1369" t="s">
        <v>621</v>
      </c>
      <c r="G45" s="1370" t="s">
        <v>622</v>
      </c>
      <c r="H45" s="1365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</row>
    <row r="46" spans="1:27" ht="12.75" customHeight="1" x14ac:dyDescent="0.25">
      <c r="A46" s="1747" t="s">
        <v>635</v>
      </c>
      <c r="B46" s="1747"/>
      <c r="C46" s="1385">
        <v>6</v>
      </c>
      <c r="D46" s="1385">
        <v>3</v>
      </c>
      <c r="E46" s="1385">
        <v>0.25</v>
      </c>
      <c r="F46" s="1385">
        <v>0.3</v>
      </c>
      <c r="G46" s="1386">
        <f t="shared" ref="G46:G57" si="6">ROUND(C46*D46*E46*F46,5)</f>
        <v>1.35</v>
      </c>
      <c r="H46" s="1365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</row>
    <row r="47" spans="1:27" ht="12.75" customHeight="1" x14ac:dyDescent="0.25">
      <c r="A47" s="1744" t="s">
        <v>636</v>
      </c>
      <c r="B47" s="1744"/>
      <c r="C47" s="1395">
        <v>6</v>
      </c>
      <c r="D47" s="1395">
        <v>6</v>
      </c>
      <c r="E47" s="1395">
        <v>0.25</v>
      </c>
      <c r="F47" s="1395">
        <v>0.3</v>
      </c>
      <c r="G47" s="1396">
        <f t="shared" si="6"/>
        <v>2.7</v>
      </c>
      <c r="H47" s="1365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</row>
    <row r="48" spans="1:27" ht="24.9" customHeight="1" x14ac:dyDescent="0.25">
      <c r="A48" s="1744" t="s">
        <v>637</v>
      </c>
      <c r="B48" s="1744"/>
      <c r="C48" s="1395">
        <f>ROUND((6/0.21),2)</f>
        <v>28.57</v>
      </c>
      <c r="D48" s="1395">
        <v>5</v>
      </c>
      <c r="E48" s="1395">
        <v>0.2</v>
      </c>
      <c r="F48" s="1395">
        <v>0.1</v>
      </c>
      <c r="G48" s="1396">
        <f t="shared" si="6"/>
        <v>2.8570000000000002</v>
      </c>
      <c r="H48" s="1365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</row>
    <row r="49" spans="1:27" ht="12.75" customHeight="1" x14ac:dyDescent="0.25">
      <c r="A49" s="1744" t="s">
        <v>638</v>
      </c>
      <c r="B49" s="1744"/>
      <c r="C49" s="1395">
        <v>2</v>
      </c>
      <c r="D49" s="1395">
        <v>6</v>
      </c>
      <c r="E49" s="1395">
        <v>0.25</v>
      </c>
      <c r="F49" s="1395">
        <v>0.3</v>
      </c>
      <c r="G49" s="1396">
        <f t="shared" si="6"/>
        <v>0.9</v>
      </c>
      <c r="H49" s="1365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</row>
    <row r="50" spans="1:27" ht="24.9" customHeight="1" x14ac:dyDescent="0.25">
      <c r="A50" s="1744" t="s">
        <v>639</v>
      </c>
      <c r="B50" s="1744"/>
      <c r="C50" s="1395">
        <v>2</v>
      </c>
      <c r="D50" s="1395">
        <v>6</v>
      </c>
      <c r="E50" s="1395">
        <v>0.2</v>
      </c>
      <c r="F50" s="1395">
        <v>0.15</v>
      </c>
      <c r="G50" s="1396">
        <f t="shared" si="6"/>
        <v>0.36</v>
      </c>
      <c r="H50" s="1365"/>
      <c r="I50" s="1359"/>
      <c r="J50" s="1359"/>
      <c r="K50" s="1359"/>
      <c r="L50" s="1359"/>
      <c r="M50" s="1359"/>
      <c r="N50" s="1359"/>
      <c r="O50" s="1359"/>
      <c r="P50" s="1359"/>
      <c r="Q50" s="1359"/>
      <c r="R50" s="1359"/>
      <c r="S50" s="1359"/>
      <c r="T50" s="1359"/>
      <c r="U50" s="1359"/>
      <c r="V50" s="1359"/>
      <c r="W50" s="1359"/>
      <c r="X50" s="1359"/>
      <c r="Y50" s="1359"/>
      <c r="Z50" s="1359"/>
      <c r="AA50" s="1359"/>
    </row>
    <row r="51" spans="1:27" ht="24.9" customHeight="1" x14ac:dyDescent="0.25">
      <c r="A51" s="1744" t="s">
        <v>640</v>
      </c>
      <c r="B51" s="1744"/>
      <c r="C51" s="1395">
        <v>6</v>
      </c>
      <c r="D51" s="1395">
        <v>6</v>
      </c>
      <c r="E51" s="1395">
        <v>0.3</v>
      </c>
      <c r="F51" s="1395">
        <v>0.1</v>
      </c>
      <c r="G51" s="1396">
        <f t="shared" si="6"/>
        <v>1.08</v>
      </c>
      <c r="H51" s="1365"/>
      <c r="I51" s="1359"/>
      <c r="J51" s="1359"/>
      <c r="K51" s="1359"/>
      <c r="L51" s="1359"/>
      <c r="M51" s="1359"/>
      <c r="N51" s="1359"/>
      <c r="O51" s="1359"/>
      <c r="P51" s="1359"/>
      <c r="Q51" s="1359"/>
      <c r="R51" s="1359"/>
      <c r="S51" s="1359"/>
      <c r="T51" s="1359"/>
      <c r="U51" s="1359"/>
      <c r="V51" s="1359"/>
      <c r="W51" s="1359"/>
      <c r="X51" s="1359"/>
      <c r="Y51" s="1359"/>
      <c r="Z51" s="1359"/>
      <c r="AA51" s="1359"/>
    </row>
    <row r="52" spans="1:27" ht="24.9" customHeight="1" x14ac:dyDescent="0.25">
      <c r="A52" s="1744" t="s">
        <v>641</v>
      </c>
      <c r="B52" s="1744"/>
      <c r="C52" s="1395">
        <f>2.5*2</f>
        <v>5</v>
      </c>
      <c r="D52" s="1395">
        <v>0.65</v>
      </c>
      <c r="E52" s="1395">
        <v>0.2</v>
      </c>
      <c r="F52" s="1395">
        <v>0.1</v>
      </c>
      <c r="G52" s="1396">
        <f t="shared" si="6"/>
        <v>6.5000000000000002E-2</v>
      </c>
      <c r="H52" s="1365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</row>
    <row r="53" spans="1:27" ht="24.9" customHeight="1" x14ac:dyDescent="0.25">
      <c r="A53" s="1744" t="s">
        <v>642</v>
      </c>
      <c r="B53" s="1744"/>
      <c r="C53" s="1395">
        <v>2.5</v>
      </c>
      <c r="D53" s="1395">
        <v>0.9</v>
      </c>
      <c r="E53" s="1395">
        <v>0.2</v>
      </c>
      <c r="F53" s="1395">
        <v>0.1</v>
      </c>
      <c r="G53" s="1396">
        <f t="shared" si="6"/>
        <v>4.4999999999999998E-2</v>
      </c>
      <c r="H53" s="1365"/>
      <c r="I53" s="1359"/>
      <c r="J53" s="1359"/>
      <c r="K53" s="1359"/>
      <c r="L53" s="1359"/>
      <c r="M53" s="1359"/>
      <c r="N53" s="1359"/>
      <c r="O53" s="1359"/>
      <c r="P53" s="1359"/>
      <c r="Q53" s="1359"/>
      <c r="R53" s="1359"/>
      <c r="S53" s="1359"/>
      <c r="T53" s="1359"/>
      <c r="U53" s="1359"/>
      <c r="V53" s="1359"/>
      <c r="W53" s="1359"/>
      <c r="X53" s="1359"/>
      <c r="Y53" s="1359"/>
      <c r="Z53" s="1359"/>
      <c r="AA53" s="1359"/>
    </row>
    <row r="54" spans="1:27" ht="24.9" customHeight="1" x14ac:dyDescent="0.25">
      <c r="A54" s="1744" t="s">
        <v>643</v>
      </c>
      <c r="B54" s="1744"/>
      <c r="C54" s="1395">
        <f>3.5*2</f>
        <v>7</v>
      </c>
      <c r="D54" s="1395">
        <v>1.4</v>
      </c>
      <c r="E54" s="1395">
        <v>0.15</v>
      </c>
      <c r="F54" s="1395">
        <v>0.1</v>
      </c>
      <c r="G54" s="1396">
        <f t="shared" si="6"/>
        <v>0.14699999999999999</v>
      </c>
      <c r="H54" s="1365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</row>
    <row r="55" spans="1:27" ht="24.9" customHeight="1" x14ac:dyDescent="0.25">
      <c r="A55" s="1744" t="s">
        <v>644</v>
      </c>
      <c r="B55" s="1744"/>
      <c r="C55" s="1395">
        <f>1*2</f>
        <v>2</v>
      </c>
      <c r="D55" s="1395">
        <v>1.1000000000000001</v>
      </c>
      <c r="E55" s="1395">
        <v>0.15</v>
      </c>
      <c r="F55" s="1395">
        <v>0.1</v>
      </c>
      <c r="G55" s="1396">
        <f t="shared" si="6"/>
        <v>3.3000000000000002E-2</v>
      </c>
      <c r="H55" s="1365"/>
      <c r="I55" s="1359"/>
      <c r="J55" s="1359"/>
      <c r="K55" s="1359"/>
      <c r="L55" s="1359"/>
      <c r="M55" s="1359"/>
      <c r="N55" s="1359"/>
      <c r="O55" s="1359"/>
      <c r="P55" s="1359"/>
      <c r="Q55" s="1359"/>
      <c r="R55" s="1359"/>
      <c r="S55" s="1359"/>
      <c r="T55" s="1359"/>
      <c r="U55" s="1359"/>
      <c r="V55" s="1359"/>
      <c r="W55" s="1359"/>
      <c r="X55" s="1359"/>
      <c r="Y55" s="1359"/>
      <c r="Z55" s="1359"/>
      <c r="AA55" s="1359"/>
    </row>
    <row r="56" spans="1:27" ht="24.9" customHeight="1" x14ac:dyDescent="0.25">
      <c r="A56" s="1744" t="s">
        <v>645</v>
      </c>
      <c r="B56" s="1744"/>
      <c r="C56" s="1395">
        <v>2</v>
      </c>
      <c r="D56" s="1395">
        <v>6</v>
      </c>
      <c r="E56" s="1395">
        <v>0.1</v>
      </c>
      <c r="F56" s="1395">
        <v>7.0000000000000007E-2</v>
      </c>
      <c r="G56" s="1396">
        <f t="shared" si="6"/>
        <v>8.4000000000000005E-2</v>
      </c>
      <c r="H56" s="1365"/>
      <c r="I56" s="1359"/>
      <c r="J56" s="1359"/>
      <c r="K56" s="1359"/>
      <c r="L56" s="1359"/>
      <c r="M56" s="1359"/>
      <c r="N56" s="1359"/>
      <c r="O56" s="1359"/>
      <c r="P56" s="1359"/>
      <c r="Q56" s="1359"/>
      <c r="R56" s="1359"/>
      <c r="S56" s="1359"/>
      <c r="T56" s="1359"/>
      <c r="U56" s="1359"/>
      <c r="V56" s="1359"/>
      <c r="W56" s="1359"/>
      <c r="X56" s="1359"/>
      <c r="Y56" s="1359"/>
      <c r="Z56" s="1359"/>
      <c r="AA56" s="1359"/>
    </row>
    <row r="57" spans="1:27" ht="24.9" customHeight="1" x14ac:dyDescent="0.25">
      <c r="A57" s="1746" t="s">
        <v>646</v>
      </c>
      <c r="B57" s="1746"/>
      <c r="C57" s="1388">
        <v>2</v>
      </c>
      <c r="D57" s="1388">
        <v>6</v>
      </c>
      <c r="E57" s="1388">
        <v>0.2</v>
      </c>
      <c r="F57" s="1388">
        <v>0.1</v>
      </c>
      <c r="G57" s="1389">
        <f t="shared" si="6"/>
        <v>0.24</v>
      </c>
      <c r="H57" s="1365"/>
      <c r="I57" s="1359"/>
      <c r="J57" s="1359"/>
      <c r="K57" s="1359"/>
      <c r="L57" s="1359"/>
      <c r="M57" s="1359"/>
      <c r="N57" s="1359"/>
      <c r="O57" s="1359"/>
      <c r="P57" s="1359"/>
      <c r="Q57" s="1359"/>
      <c r="R57" s="1359"/>
      <c r="S57" s="1359"/>
      <c r="T57" s="1359"/>
      <c r="U57" s="1359"/>
      <c r="V57" s="1359"/>
      <c r="W57" s="1359"/>
      <c r="X57" s="1359"/>
      <c r="Y57" s="1359"/>
      <c r="Z57" s="1359"/>
      <c r="AA57" s="1359"/>
    </row>
    <row r="58" spans="1:27" x14ac:dyDescent="0.25">
      <c r="A58" s="1390"/>
      <c r="B58" s="1390"/>
      <c r="C58" s="1390"/>
      <c r="D58" s="1391"/>
      <c r="E58" s="1391"/>
      <c r="F58" s="1392" t="s">
        <v>647</v>
      </c>
      <c r="G58" s="1393">
        <f>SUM(G46:G57)</f>
        <v>9.8610000000000007</v>
      </c>
      <c r="H58" s="1365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</row>
    <row r="59" spans="1:27" ht="21.75" customHeight="1" x14ac:dyDescent="0.25">
      <c r="A59" s="1390"/>
      <c r="B59" s="1390"/>
      <c r="C59" s="1390"/>
      <c r="D59" s="1391"/>
      <c r="E59" s="1391"/>
      <c r="F59" s="1391"/>
      <c r="G59" s="1391"/>
      <c r="H59" s="1365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</row>
    <row r="60" spans="1:27" ht="20.25" customHeight="1" x14ac:dyDescent="0.25">
      <c r="A60" s="1365"/>
      <c r="B60" s="1749" t="s">
        <v>648</v>
      </c>
      <c r="C60" s="1749"/>
      <c r="D60" s="1749"/>
      <c r="E60" s="1399" t="s">
        <v>649</v>
      </c>
      <c r="F60" s="1400" t="s">
        <v>85</v>
      </c>
      <c r="G60" s="1391"/>
      <c r="H60" s="1391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</row>
    <row r="61" spans="1:27" x14ac:dyDescent="0.25">
      <c r="A61" s="1365"/>
      <c r="B61" s="1401" t="s">
        <v>650</v>
      </c>
      <c r="C61" s="1402">
        <f>G22+G43+G58</f>
        <v>15.426000000000002</v>
      </c>
      <c r="D61" s="1403" t="s">
        <v>551</v>
      </c>
      <c r="E61" s="1404">
        <v>6</v>
      </c>
      <c r="F61" s="1405">
        <f>ROUND(C61/E61,5)</f>
        <v>2.5710000000000002</v>
      </c>
      <c r="G61" s="1391"/>
      <c r="H61" s="1391"/>
      <c r="I61" s="1359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59"/>
      <c r="W61" s="1359"/>
      <c r="X61" s="1359"/>
      <c r="Y61" s="1359"/>
      <c r="Z61" s="1359"/>
      <c r="AA61" s="1359"/>
    </row>
    <row r="62" spans="1:27" x14ac:dyDescent="0.25">
      <c r="A62" s="1390"/>
      <c r="B62" s="1390"/>
      <c r="C62" s="1390"/>
      <c r="D62" s="1391"/>
      <c r="E62" s="1391"/>
      <c r="F62" s="1391"/>
      <c r="G62" s="1391"/>
      <c r="H62" s="1365"/>
      <c r="I62" s="1359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59"/>
      <c r="W62" s="1359"/>
      <c r="X62" s="1359"/>
      <c r="Y62" s="1359"/>
      <c r="Z62" s="1359"/>
      <c r="AA62" s="1359"/>
    </row>
    <row r="63" spans="1:27" x14ac:dyDescent="0.25">
      <c r="A63" s="1368" t="s">
        <v>651</v>
      </c>
      <c r="B63" s="1369" t="s">
        <v>652</v>
      </c>
      <c r="C63" s="1369" t="s">
        <v>653</v>
      </c>
      <c r="D63" s="1369" t="s">
        <v>654</v>
      </c>
      <c r="E63" s="1750" t="s">
        <v>655</v>
      </c>
      <c r="F63" s="1750"/>
      <c r="G63" s="1364"/>
      <c r="H63" s="1365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</row>
    <row r="64" spans="1:27" x14ac:dyDescent="0.25">
      <c r="A64" s="259">
        <v>3</v>
      </c>
      <c r="B64" s="1406">
        <f t="shared" ref="B64:B66" si="7">$C$61</f>
        <v>15.426000000000002</v>
      </c>
      <c r="C64" s="1406">
        <f t="shared" ref="C64:C66" si="8">ROUND(A64*B64,4)</f>
        <v>46.277999999999999</v>
      </c>
      <c r="D64" s="1407">
        <f t="shared" ref="D64:D66" si="9">A64*$E$61</f>
        <v>18</v>
      </c>
      <c r="E64" s="1408">
        <f t="shared" ref="E64:E66" si="10">C64/D64</f>
        <v>2.5709999999999997</v>
      </c>
      <c r="F64" s="1409" t="s">
        <v>656</v>
      </c>
      <c r="G64" s="1364"/>
      <c r="H64" s="1365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</row>
    <row r="65" spans="1:27" x14ac:dyDescent="0.25">
      <c r="A65" s="261">
        <v>4</v>
      </c>
      <c r="B65" s="1410">
        <f t="shared" si="7"/>
        <v>15.426000000000002</v>
      </c>
      <c r="C65" s="1410">
        <f t="shared" si="8"/>
        <v>61.704000000000001</v>
      </c>
      <c r="D65" s="1411">
        <f t="shared" si="9"/>
        <v>24</v>
      </c>
      <c r="E65" s="1412">
        <f t="shared" si="10"/>
        <v>2.5710000000000002</v>
      </c>
      <c r="F65" s="1413" t="s">
        <v>656</v>
      </c>
      <c r="G65" s="1364"/>
      <c r="H65" s="1365"/>
      <c r="I65" s="1359"/>
      <c r="J65" s="1359"/>
      <c r="K65" s="1359"/>
      <c r="L65" s="1359"/>
      <c r="M65" s="1359"/>
      <c r="N65" s="1359"/>
      <c r="O65" s="1359"/>
      <c r="P65" s="1359"/>
      <c r="Q65" s="1359"/>
      <c r="R65" s="1359"/>
      <c r="S65" s="1359"/>
      <c r="T65" s="1359"/>
      <c r="U65" s="1359"/>
      <c r="V65" s="1359"/>
      <c r="W65" s="1359"/>
      <c r="X65" s="1359"/>
      <c r="Y65" s="1359"/>
      <c r="Z65" s="1359"/>
      <c r="AA65" s="1359"/>
    </row>
    <row r="66" spans="1:27" x14ac:dyDescent="0.25">
      <c r="A66" s="261">
        <v>5</v>
      </c>
      <c r="B66" s="1410">
        <f t="shared" si="7"/>
        <v>15.426000000000002</v>
      </c>
      <c r="C66" s="1410">
        <f t="shared" si="8"/>
        <v>77.13</v>
      </c>
      <c r="D66" s="1411">
        <f t="shared" si="9"/>
        <v>30</v>
      </c>
      <c r="E66" s="1412">
        <f t="shared" si="10"/>
        <v>2.5709999999999997</v>
      </c>
      <c r="F66" s="1414" t="s">
        <v>656</v>
      </c>
      <c r="G66" s="1364"/>
      <c r="H66" s="1365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</row>
    <row r="67" spans="1:27" ht="7.5" customHeight="1" x14ac:dyDescent="0.25">
      <c r="A67" s="1415"/>
      <c r="B67" s="1415"/>
      <c r="C67" s="1415"/>
      <c r="D67" s="1416"/>
      <c r="E67" s="1416"/>
      <c r="F67" s="1416"/>
      <c r="G67" s="1416"/>
      <c r="H67" s="1365"/>
      <c r="I67" s="1359"/>
      <c r="J67" s="1359"/>
      <c r="K67" s="1359"/>
      <c r="L67" s="1359"/>
      <c r="M67" s="1359"/>
      <c r="N67" s="1359"/>
      <c r="O67" s="1359"/>
      <c r="P67" s="1359"/>
      <c r="Q67" s="1359"/>
      <c r="R67" s="1359"/>
      <c r="S67" s="1359"/>
      <c r="T67" s="1359"/>
      <c r="U67" s="1359"/>
      <c r="V67" s="1359"/>
      <c r="W67" s="1359"/>
      <c r="X67" s="1359"/>
      <c r="Y67" s="1359"/>
      <c r="Z67" s="1359"/>
      <c r="AA67" s="1359"/>
    </row>
    <row r="68" spans="1:27" x14ac:dyDescent="0.25">
      <c r="A68" s="1415"/>
      <c r="B68" s="1415"/>
      <c r="C68" s="1415"/>
      <c r="D68" s="1416"/>
      <c r="E68" s="1416"/>
      <c r="F68" s="1416"/>
      <c r="G68" s="1416"/>
      <c r="H68" s="1365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</row>
    <row r="69" spans="1:27" ht="13.8" x14ac:dyDescent="0.25">
      <c r="A69" s="1360" t="s">
        <v>657</v>
      </c>
      <c r="B69" s="1361"/>
      <c r="C69" s="1362"/>
      <c r="D69" s="1417"/>
      <c r="E69" s="1417"/>
      <c r="F69" s="1417"/>
      <c r="G69" s="1417"/>
      <c r="H69" s="1363"/>
      <c r="I69" s="1359"/>
      <c r="J69" s="1359"/>
      <c r="K69" s="1359"/>
      <c r="L69" s="1359"/>
      <c r="M69" s="1359"/>
      <c r="N69" s="1359"/>
      <c r="O69" s="1359"/>
      <c r="P69" s="1359"/>
      <c r="Q69" s="1359"/>
      <c r="R69" s="1359"/>
      <c r="S69" s="1359"/>
      <c r="T69" s="1359"/>
      <c r="U69" s="1359"/>
      <c r="V69" s="1359"/>
      <c r="W69" s="1359"/>
      <c r="X69" s="1359"/>
      <c r="Y69" s="1359"/>
      <c r="Z69" s="1359"/>
      <c r="AA69" s="1359"/>
    </row>
    <row r="70" spans="1:27" ht="6" customHeight="1" x14ac:dyDescent="0.25">
      <c r="A70" s="326"/>
      <c r="B70" s="326"/>
      <c r="C70" s="1364"/>
      <c r="D70" s="1364"/>
      <c r="E70" s="1364"/>
      <c r="F70" s="1364"/>
      <c r="G70" s="1364"/>
      <c r="H70" s="1365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</row>
    <row r="71" spans="1:27" ht="24.9" customHeight="1" x14ac:dyDescent="0.25">
      <c r="A71" s="1418" t="s">
        <v>594</v>
      </c>
      <c r="B71" s="1419" t="s">
        <v>658</v>
      </c>
      <c r="C71" s="1419" t="s">
        <v>596</v>
      </c>
      <c r="D71" s="1419" t="s">
        <v>659</v>
      </c>
      <c r="E71" s="1419" t="s">
        <v>660</v>
      </c>
      <c r="F71" s="1419" t="s">
        <v>661</v>
      </c>
      <c r="G71" s="1420" t="s">
        <v>104</v>
      </c>
      <c r="H71" s="1365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</row>
    <row r="72" spans="1:27" ht="24.9" customHeight="1" x14ac:dyDescent="0.25">
      <c r="A72" s="1421" t="str">
        <f>CONCATENATE("Pilar PA-01 (",E72,"x",F72,")")</f>
        <v>Pilar PA-01 (0,25x0,25)</v>
      </c>
      <c r="B72" s="1385">
        <f>E84</f>
        <v>2</v>
      </c>
      <c r="C72" s="1422">
        <f>F91</f>
        <v>3</v>
      </c>
      <c r="D72" s="1423">
        <v>1.5</v>
      </c>
      <c r="E72" s="1424">
        <v>0.25</v>
      </c>
      <c r="F72" s="1424">
        <v>0.25</v>
      </c>
      <c r="G72" s="1386">
        <f t="shared" ref="G72:G73" si="11">ROUND(B72*(C72+D72)*E72*F72,5)</f>
        <v>0.5625</v>
      </c>
      <c r="H72" s="1365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</row>
    <row r="73" spans="1:27" ht="24.9" customHeight="1" x14ac:dyDescent="0.25">
      <c r="A73" s="1425" t="str">
        <f>CONCATENATE("Pilar PA-02 (",E73,"x",F73,")")</f>
        <v>Pilar PA-02 (0,25x0,25)</v>
      </c>
      <c r="B73" s="1395">
        <f>E84</f>
        <v>2</v>
      </c>
      <c r="C73" s="1395">
        <f>D91</f>
        <v>2</v>
      </c>
      <c r="D73" s="1426">
        <v>1.5</v>
      </c>
      <c r="E73" s="1426">
        <v>0.25</v>
      </c>
      <c r="F73" s="1426">
        <v>0.25</v>
      </c>
      <c r="G73" s="1396">
        <f t="shared" si="11"/>
        <v>0.4375</v>
      </c>
      <c r="H73" s="1365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</row>
    <row r="74" spans="1:27" x14ac:dyDescent="0.25">
      <c r="A74" s="326" t="s">
        <v>662</v>
      </c>
      <c r="B74" s="1427"/>
      <c r="C74" s="1427"/>
      <c r="D74" s="1427"/>
      <c r="E74" s="1427"/>
      <c r="F74" s="1428"/>
      <c r="G74" s="1429"/>
      <c r="H74" s="1365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</row>
    <row r="75" spans="1:27" ht="12.75" customHeight="1" x14ac:dyDescent="0.25">
      <c r="A75" s="1748" t="s">
        <v>594</v>
      </c>
      <c r="B75" s="1751" t="s">
        <v>663</v>
      </c>
      <c r="C75" s="1751"/>
      <c r="D75" s="1430" t="s">
        <v>620</v>
      </c>
      <c r="E75" s="1430" t="s">
        <v>664</v>
      </c>
      <c r="F75" s="1752" t="s">
        <v>658</v>
      </c>
      <c r="G75" s="1430" t="s">
        <v>621</v>
      </c>
      <c r="H75" s="1431" t="s">
        <v>622</v>
      </c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</row>
    <row r="76" spans="1:27" x14ac:dyDescent="0.25">
      <c r="A76" s="1748"/>
      <c r="B76" s="1432" t="s">
        <v>665</v>
      </c>
      <c r="C76" s="1432" t="s">
        <v>597</v>
      </c>
      <c r="D76" s="1433" t="s">
        <v>18</v>
      </c>
      <c r="E76" s="1433" t="s">
        <v>666</v>
      </c>
      <c r="F76" s="1752"/>
      <c r="G76" s="1433" t="s">
        <v>18</v>
      </c>
      <c r="H76" s="1434" t="s">
        <v>667</v>
      </c>
      <c r="I76" s="1359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59"/>
      <c r="W76" s="1359"/>
      <c r="X76" s="1359"/>
      <c r="Y76" s="1359"/>
      <c r="Z76" s="1359"/>
      <c r="AA76" s="1359"/>
    </row>
    <row r="77" spans="1:27" ht="51.9" customHeight="1" x14ac:dyDescent="0.25">
      <c r="A77" s="1435" t="str">
        <f>CONCATENATE("Contenção nas alas Pranchão -(0,20x",G77,")")</f>
        <v>Contenção nas alas Pranchão -(0,20x0,07)</v>
      </c>
      <c r="B77" s="1436">
        <f>B91</f>
        <v>1</v>
      </c>
      <c r="C77" s="1436">
        <f>H91</f>
        <v>4</v>
      </c>
      <c r="D77" s="1436">
        <f>E90</f>
        <v>4</v>
      </c>
      <c r="E77" s="1436">
        <f t="shared" ref="E77:E78" si="12">ROUND(((B77+C77)/2)*D77,2)</f>
        <v>10</v>
      </c>
      <c r="F77" s="1436">
        <f>E84</f>
        <v>2</v>
      </c>
      <c r="G77" s="1437">
        <v>7.0000000000000007E-2</v>
      </c>
      <c r="H77" s="1438">
        <f t="shared" ref="H77:H78" si="13">ROUND(E77*F77*G77,5)</f>
        <v>1.4</v>
      </c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</row>
    <row r="78" spans="1:27" ht="51.9" customHeight="1" x14ac:dyDescent="0.25">
      <c r="A78" s="1439" t="str">
        <f>CONCATENATE("Contenção na ponte Pranchão -(0,20x",G78,")")</f>
        <v>Contenção na ponte Pranchão -(0,20x0,07)</v>
      </c>
      <c r="B78" s="1440">
        <f>B102</f>
        <v>4</v>
      </c>
      <c r="C78" s="1440">
        <f>H102</f>
        <v>4</v>
      </c>
      <c r="D78" s="1440">
        <f>E101</f>
        <v>5</v>
      </c>
      <c r="E78" s="1440">
        <f t="shared" si="12"/>
        <v>20</v>
      </c>
      <c r="F78" s="1440">
        <f>E87</f>
        <v>1</v>
      </c>
      <c r="G78" s="1441">
        <v>7.0000000000000007E-2</v>
      </c>
      <c r="H78" s="1442">
        <f t="shared" si="13"/>
        <v>1.4</v>
      </c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</row>
    <row r="79" spans="1:27" x14ac:dyDescent="0.25">
      <c r="A79" s="1390"/>
      <c r="B79" s="1390"/>
      <c r="C79" s="1390"/>
      <c r="D79" s="1391"/>
      <c r="E79" s="1391"/>
      <c r="F79" s="1391"/>
      <c r="G79" s="1397" t="s">
        <v>36</v>
      </c>
      <c r="H79" s="1398">
        <f>SUM(H77:H78)</f>
        <v>2.8</v>
      </c>
      <c r="I79" s="1359"/>
      <c r="J79" s="1359"/>
      <c r="K79" s="1359"/>
      <c r="L79" s="1359"/>
      <c r="M79" s="1359"/>
      <c r="N79" s="1359"/>
      <c r="O79" s="1359"/>
      <c r="P79" s="1359"/>
      <c r="Q79" s="1359"/>
      <c r="R79" s="1359"/>
      <c r="S79" s="1359"/>
      <c r="T79" s="1359"/>
      <c r="U79" s="1359"/>
      <c r="V79" s="1359"/>
      <c r="W79" s="1359"/>
      <c r="X79" s="1359"/>
      <c r="Y79" s="1359"/>
      <c r="Z79" s="1359"/>
      <c r="AA79" s="1359"/>
    </row>
    <row r="80" spans="1:27" x14ac:dyDescent="0.25">
      <c r="A80" s="1390"/>
      <c r="B80" s="1390"/>
      <c r="C80" s="1390"/>
      <c r="D80" s="1391"/>
      <c r="E80" s="1391"/>
      <c r="F80" s="1391"/>
      <c r="G80" s="1391"/>
      <c r="H80" s="1365"/>
      <c r="I80" s="1359"/>
      <c r="J80" s="1359"/>
      <c r="K80" s="1359"/>
      <c r="L80" s="1359"/>
      <c r="M80" s="1359"/>
      <c r="N80" s="1359"/>
      <c r="O80" s="1359"/>
      <c r="P80" s="1359"/>
      <c r="Q80" s="1359"/>
      <c r="R80" s="1359"/>
      <c r="S80" s="1359"/>
      <c r="T80" s="1359"/>
      <c r="U80" s="1359"/>
      <c r="V80" s="1359"/>
      <c r="W80" s="1359"/>
      <c r="X80" s="1359"/>
      <c r="Y80" s="1359"/>
      <c r="Z80" s="1359"/>
      <c r="AA80" s="1359"/>
    </row>
    <row r="81" spans="1:27" x14ac:dyDescent="0.25">
      <c r="A81" s="1390"/>
      <c r="B81" s="1748" t="s">
        <v>668</v>
      </c>
      <c r="C81" s="1748"/>
      <c r="D81" s="1748"/>
      <c r="E81" s="1443" t="e">
        <f>ROUND(#REF!+H79,5)</f>
        <v>#REF!</v>
      </c>
      <c r="F81" s="1444" t="s">
        <v>551</v>
      </c>
      <c r="G81" s="1391"/>
      <c r="H81" s="1365"/>
      <c r="I81" s="1359"/>
      <c r="J81" s="1359"/>
      <c r="K81" s="1359"/>
      <c r="L81" s="1359"/>
      <c r="M81" s="1359"/>
      <c r="N81" s="1359"/>
      <c r="O81" s="1359"/>
      <c r="P81" s="1359"/>
      <c r="Q81" s="1359"/>
      <c r="R81" s="1359"/>
      <c r="S81" s="1359"/>
      <c r="T81" s="1359"/>
      <c r="U81" s="1359"/>
      <c r="V81" s="1359"/>
      <c r="W81" s="1359"/>
      <c r="X81" s="1359"/>
      <c r="Y81" s="1359"/>
      <c r="Z81" s="1359"/>
      <c r="AA81" s="1359"/>
    </row>
    <row r="82" spans="1:27" x14ac:dyDescent="0.25">
      <c r="A82" s="1390"/>
      <c r="B82" s="1390"/>
      <c r="C82" s="1390"/>
      <c r="D82" s="1391"/>
      <c r="E82" s="1391"/>
      <c r="F82" s="1391"/>
      <c r="G82" s="1391"/>
      <c r="H82" s="1365"/>
      <c r="I82" s="1359"/>
      <c r="J82" s="1359"/>
      <c r="K82" s="1359"/>
      <c r="L82" s="1359"/>
      <c r="M82" s="1359"/>
      <c r="N82" s="1359"/>
      <c r="O82" s="1359"/>
      <c r="P82" s="1359"/>
      <c r="Q82" s="1359"/>
      <c r="R82" s="1359"/>
      <c r="S82" s="1359"/>
      <c r="T82" s="1359"/>
      <c r="U82" s="1359"/>
      <c r="V82" s="1359"/>
      <c r="W82" s="1359"/>
      <c r="X82" s="1359"/>
      <c r="Y82" s="1359"/>
      <c r="Z82" s="1359"/>
      <c r="AA82" s="1359"/>
    </row>
    <row r="83" spans="1:27" x14ac:dyDescent="0.25">
      <c r="A83" s="1445" t="s">
        <v>669</v>
      </c>
      <c r="B83" s="1390"/>
      <c r="C83" s="1390"/>
      <c r="D83" s="1446" t="s">
        <v>670</v>
      </c>
      <c r="E83" s="1391"/>
      <c r="F83" s="1391"/>
      <c r="G83" s="1391"/>
      <c r="H83" s="1365"/>
      <c r="I83" s="1359"/>
      <c r="J83" s="1359"/>
      <c r="K83" s="1359"/>
      <c r="L83" s="1359"/>
      <c r="M83" s="1359"/>
      <c r="N83" s="1359"/>
      <c r="O83" s="1359"/>
      <c r="P83" s="1359"/>
      <c r="Q83" s="1359"/>
      <c r="R83" s="1359"/>
      <c r="S83" s="1359"/>
      <c r="T83" s="1359"/>
      <c r="U83" s="1359"/>
      <c r="V83" s="1359"/>
      <c r="W83" s="1359"/>
      <c r="X83" s="1359"/>
      <c r="Y83" s="1359"/>
      <c r="Z83" s="1359"/>
      <c r="AA83" s="1359"/>
    </row>
    <row r="84" spans="1:27" x14ac:dyDescent="0.25">
      <c r="A84" s="1447">
        <f>B91</f>
        <v>1</v>
      </c>
      <c r="B84" s="1390"/>
      <c r="C84" s="1390"/>
      <c r="D84" s="1448" t="s">
        <v>671</v>
      </c>
      <c r="E84" s="1449">
        <v>2</v>
      </c>
      <c r="F84" s="1391"/>
      <c r="G84" s="1391"/>
      <c r="H84" s="1365"/>
      <c r="I84" s="1359"/>
      <c r="J84" s="1359"/>
      <c r="K84" s="1359"/>
      <c r="L84" s="1359"/>
      <c r="M84" s="1359"/>
      <c r="N84" s="1359"/>
      <c r="O84" s="1359"/>
      <c r="P84" s="1359"/>
      <c r="Q84" s="1359"/>
      <c r="R84" s="1359"/>
      <c r="S84" s="1359"/>
      <c r="T84" s="1359"/>
      <c r="U84" s="1359"/>
      <c r="V84" s="1359"/>
      <c r="W84" s="1359"/>
      <c r="X84" s="1359"/>
      <c r="Y84" s="1359"/>
      <c r="Z84" s="1359"/>
      <c r="AA84" s="1359"/>
    </row>
    <row r="85" spans="1:27" ht="50.1" customHeight="1" x14ac:dyDescent="0.25">
      <c r="A85" s="1450"/>
      <c r="B85" s="1390"/>
      <c r="C85" s="1390"/>
      <c r="D85" s="1391"/>
      <c r="E85" s="1391"/>
      <c r="F85" s="1391"/>
      <c r="G85" s="1391"/>
      <c r="H85" s="1451"/>
      <c r="I85" s="1359"/>
      <c r="J85" s="1359"/>
      <c r="K85" s="1359"/>
      <c r="L85" s="1359"/>
      <c r="M85" s="1359"/>
      <c r="N85" s="1359"/>
      <c r="O85" s="1359"/>
      <c r="P85" s="1359"/>
      <c r="Q85" s="1359"/>
      <c r="R85" s="1359"/>
      <c r="S85" s="1359"/>
      <c r="T85" s="1359"/>
      <c r="U85" s="1359"/>
      <c r="V85" s="1359"/>
      <c r="W85" s="1359"/>
      <c r="X85" s="1359"/>
      <c r="Y85" s="1359"/>
      <c r="Z85" s="1359"/>
      <c r="AA85" s="1359"/>
    </row>
    <row r="86" spans="1:27" ht="50.1" customHeight="1" x14ac:dyDescent="0.25">
      <c r="A86" s="1390"/>
      <c r="B86" s="1450"/>
      <c r="C86" s="1452"/>
      <c r="D86" s="1453" t="s">
        <v>672</v>
      </c>
      <c r="E86" s="1454"/>
      <c r="F86" s="1455"/>
      <c r="G86" s="1456"/>
      <c r="H86" s="1365"/>
      <c r="I86" s="1359"/>
      <c r="J86" s="1359"/>
      <c r="K86" s="1359"/>
      <c r="L86" s="1359"/>
      <c r="M86" s="1359"/>
      <c r="N86" s="1359"/>
      <c r="O86" s="1359"/>
      <c r="P86" s="1359"/>
      <c r="Q86" s="1359"/>
      <c r="R86" s="1359"/>
      <c r="S86" s="1359"/>
      <c r="T86" s="1359"/>
      <c r="U86" s="1359"/>
      <c r="V86" s="1359"/>
      <c r="W86" s="1359"/>
      <c r="X86" s="1359"/>
      <c r="Y86" s="1359"/>
      <c r="Z86" s="1359"/>
      <c r="AA86" s="1359"/>
    </row>
    <row r="87" spans="1:27" x14ac:dyDescent="0.25">
      <c r="A87" s="1390"/>
      <c r="B87" s="1445" t="s">
        <v>673</v>
      </c>
      <c r="C87" s="1390"/>
      <c r="D87" s="1448" t="s">
        <v>671</v>
      </c>
      <c r="E87" s="1449">
        <v>1</v>
      </c>
      <c r="F87" s="1391"/>
      <c r="G87" s="1391"/>
      <c r="H87" s="1365"/>
      <c r="I87" s="1359"/>
      <c r="J87" s="1359"/>
      <c r="K87" s="1359"/>
      <c r="L87" s="1359"/>
      <c r="M87" s="1359"/>
      <c r="N87" s="1359"/>
      <c r="O87" s="1359"/>
      <c r="P87" s="1359"/>
      <c r="Q87" s="1359"/>
      <c r="R87" s="1359"/>
      <c r="S87" s="1359"/>
      <c r="T87" s="1359"/>
      <c r="U87" s="1359"/>
      <c r="V87" s="1359"/>
      <c r="W87" s="1359"/>
      <c r="X87" s="1359"/>
      <c r="Y87" s="1359"/>
      <c r="Z87" s="1359"/>
      <c r="AA87" s="1359"/>
    </row>
    <row r="88" spans="1:27" x14ac:dyDescent="0.25">
      <c r="A88" s="1390"/>
      <c r="B88" s="1447">
        <f>H91</f>
        <v>4</v>
      </c>
      <c r="C88" s="1390"/>
      <c r="D88" s="1391"/>
      <c r="E88" s="1391"/>
      <c r="F88" s="1391"/>
      <c r="G88" s="1391"/>
      <c r="H88" s="1365"/>
      <c r="I88" s="1359"/>
      <c r="J88" s="1359"/>
      <c r="K88" s="1359"/>
      <c r="L88" s="1359"/>
      <c r="M88" s="1359"/>
      <c r="N88" s="1359"/>
      <c r="O88" s="1359"/>
      <c r="P88" s="1359"/>
      <c r="Q88" s="1359"/>
      <c r="R88" s="1359"/>
      <c r="S88" s="1359"/>
      <c r="T88" s="1359"/>
      <c r="U88" s="1359"/>
      <c r="V88" s="1359"/>
      <c r="W88" s="1359"/>
      <c r="X88" s="1359"/>
      <c r="Y88" s="1359"/>
      <c r="Z88" s="1359"/>
      <c r="AA88" s="1359"/>
    </row>
    <row r="89" spans="1:27" x14ac:dyDescent="0.25">
      <c r="A89" s="1390"/>
      <c r="B89" s="1390"/>
      <c r="C89" s="1390"/>
      <c r="D89" s="1367" t="s">
        <v>674</v>
      </c>
      <c r="E89" s="1391"/>
      <c r="F89" s="1391"/>
      <c r="G89" s="1391"/>
      <c r="H89" s="1365"/>
      <c r="I89" s="1359"/>
      <c r="J89" s="1359"/>
      <c r="K89" s="1359"/>
      <c r="L89" s="1359"/>
      <c r="M89" s="1359"/>
      <c r="N89" s="1359"/>
      <c r="O89" s="1359"/>
      <c r="P89" s="1359"/>
      <c r="Q89" s="1359"/>
      <c r="R89" s="1359"/>
      <c r="S89" s="1359"/>
      <c r="T89" s="1359"/>
      <c r="U89" s="1359"/>
      <c r="V89" s="1359"/>
      <c r="W89" s="1359"/>
      <c r="X89" s="1359"/>
      <c r="Y89" s="1359"/>
      <c r="Z89" s="1359"/>
      <c r="AA89" s="1359"/>
    </row>
    <row r="90" spans="1:27" ht="20.100000000000001" customHeight="1" x14ac:dyDescent="0.25">
      <c r="A90" s="1390"/>
      <c r="B90" s="1390"/>
      <c r="C90" s="1452"/>
      <c r="D90" s="1457" t="s">
        <v>675</v>
      </c>
      <c r="E90" s="1458">
        <v>4</v>
      </c>
      <c r="F90" s="1459"/>
      <c r="G90" s="1460"/>
      <c r="H90" s="1365"/>
      <c r="I90" s="1359"/>
      <c r="J90" s="1359"/>
      <c r="K90" s="1359"/>
      <c r="L90" s="1359"/>
      <c r="M90" s="1359"/>
      <c r="N90" s="1359"/>
      <c r="O90" s="1359"/>
      <c r="P90" s="1359"/>
      <c r="Q90" s="1359"/>
      <c r="R90" s="1359"/>
      <c r="S90" s="1359"/>
      <c r="T90" s="1359"/>
      <c r="U90" s="1359"/>
      <c r="V90" s="1359"/>
      <c r="W90" s="1359"/>
      <c r="X90" s="1359"/>
      <c r="Y90" s="1359"/>
      <c r="Z90" s="1359"/>
      <c r="AA90" s="1359"/>
    </row>
    <row r="91" spans="1:27" ht="12.75" customHeight="1" x14ac:dyDescent="0.25">
      <c r="A91" s="1760" t="s">
        <v>676</v>
      </c>
      <c r="B91" s="1761">
        <v>1</v>
      </c>
      <c r="C91" s="1753" t="s">
        <v>677</v>
      </c>
      <c r="D91" s="1761">
        <v>2</v>
      </c>
      <c r="E91" s="1753" t="s">
        <v>678</v>
      </c>
      <c r="F91" s="1761">
        <v>3</v>
      </c>
      <c r="G91" s="1753" t="s">
        <v>679</v>
      </c>
      <c r="H91" s="1754">
        <f>B102</f>
        <v>4</v>
      </c>
      <c r="I91" s="1359"/>
      <c r="J91" s="1359"/>
      <c r="K91" s="1359"/>
      <c r="L91" s="1359"/>
      <c r="M91" s="1461"/>
      <c r="N91" s="1359"/>
      <c r="O91" s="1359"/>
      <c r="P91" s="1359"/>
      <c r="Q91" s="1359"/>
      <c r="R91" s="1359"/>
      <c r="S91" s="1359"/>
      <c r="T91" s="1359"/>
      <c r="U91" s="1359"/>
      <c r="V91" s="1359"/>
      <c r="W91" s="1359"/>
      <c r="X91" s="1359"/>
      <c r="Y91" s="1359"/>
      <c r="Z91" s="1359"/>
      <c r="AA91" s="1359"/>
    </row>
    <row r="92" spans="1:27" x14ac:dyDescent="0.25">
      <c r="A92" s="1760"/>
      <c r="B92" s="1761"/>
      <c r="C92" s="1753"/>
      <c r="D92" s="1761"/>
      <c r="E92" s="1753"/>
      <c r="F92" s="1761"/>
      <c r="G92" s="1753"/>
      <c r="H92" s="1754"/>
      <c r="I92" s="1359"/>
      <c r="J92" s="1359"/>
      <c r="K92" s="1359"/>
      <c r="L92" s="1359"/>
      <c r="M92" s="1461"/>
      <c r="N92" s="1359"/>
      <c r="O92" s="1359"/>
      <c r="P92" s="1359"/>
      <c r="Q92" s="1359"/>
      <c r="R92" s="1359"/>
      <c r="S92" s="1359"/>
      <c r="T92" s="1359"/>
      <c r="U92" s="1359"/>
      <c r="V92" s="1359"/>
      <c r="W92" s="1359"/>
      <c r="X92" s="1359"/>
      <c r="Y92" s="1359"/>
      <c r="Z92" s="1359"/>
      <c r="AA92" s="1359"/>
    </row>
    <row r="93" spans="1:27" x14ac:dyDescent="0.25">
      <c r="A93" s="1760"/>
      <c r="B93" s="1761"/>
      <c r="C93" s="1753"/>
      <c r="D93" s="1761"/>
      <c r="E93" s="1753"/>
      <c r="F93" s="1761"/>
      <c r="G93" s="1753"/>
      <c r="H93" s="1754"/>
      <c r="I93" s="1359"/>
      <c r="J93" s="1359"/>
      <c r="K93" s="1359"/>
      <c r="L93" s="1359"/>
      <c r="M93" s="1461"/>
      <c r="N93" s="1359"/>
      <c r="O93" s="1359"/>
      <c r="P93" s="1359"/>
      <c r="Q93" s="1359"/>
      <c r="R93" s="1359"/>
      <c r="S93" s="1359"/>
      <c r="T93" s="1359"/>
      <c r="U93" s="1359"/>
      <c r="V93" s="1359"/>
      <c r="W93" s="1359"/>
      <c r="X93" s="1359"/>
      <c r="Y93" s="1359"/>
      <c r="Z93" s="1359"/>
      <c r="AA93" s="1359"/>
    </row>
    <row r="94" spans="1:27" x14ac:dyDescent="0.25">
      <c r="A94" s="1390"/>
      <c r="B94" s="1462"/>
      <c r="C94" s="1753"/>
      <c r="D94" s="1761"/>
      <c r="E94" s="1753"/>
      <c r="F94" s="1761"/>
      <c r="G94" s="1753"/>
      <c r="H94" s="1754"/>
      <c r="I94" s="1359"/>
      <c r="J94" s="1359"/>
      <c r="K94" s="1359"/>
      <c r="L94" s="1359"/>
      <c r="M94" s="1461"/>
      <c r="N94" s="1359"/>
      <c r="O94" s="1359"/>
      <c r="P94" s="1359"/>
      <c r="Q94" s="1359"/>
      <c r="R94" s="1359"/>
      <c r="S94" s="1359"/>
      <c r="T94" s="1359"/>
      <c r="U94" s="1359"/>
      <c r="V94" s="1359"/>
      <c r="W94" s="1359"/>
      <c r="X94" s="1359"/>
      <c r="Y94" s="1359"/>
      <c r="Z94" s="1359"/>
      <c r="AA94" s="1359"/>
    </row>
    <row r="95" spans="1:27" x14ac:dyDescent="0.25">
      <c r="A95" s="1390"/>
      <c r="B95" s="1463"/>
      <c r="C95" s="1464"/>
      <c r="D95" s="1761"/>
      <c r="E95" s="1753"/>
      <c r="F95" s="1761"/>
      <c r="G95" s="1753"/>
      <c r="H95" s="1754"/>
      <c r="I95" s="1359"/>
      <c r="J95" s="1359"/>
      <c r="K95" s="1359"/>
      <c r="L95" s="1359"/>
      <c r="M95" s="1461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</row>
    <row r="96" spans="1:27" x14ac:dyDescent="0.25">
      <c r="A96" s="1390"/>
      <c r="B96" s="1390"/>
      <c r="C96" s="1390"/>
      <c r="D96" s="1462"/>
      <c r="E96" s="1753"/>
      <c r="F96" s="1761"/>
      <c r="G96" s="1753"/>
      <c r="H96" s="1754"/>
      <c r="I96" s="1359"/>
      <c r="J96" s="1359"/>
      <c r="K96" s="1359"/>
      <c r="L96" s="1359"/>
      <c r="M96" s="1461"/>
      <c r="N96" s="1359"/>
      <c r="O96" s="1359"/>
      <c r="P96" s="1359"/>
      <c r="Q96" s="1359"/>
      <c r="R96" s="1359"/>
      <c r="S96" s="1359"/>
      <c r="T96" s="1359"/>
      <c r="U96" s="1359"/>
      <c r="V96" s="1359"/>
      <c r="W96" s="1359"/>
      <c r="X96" s="1359"/>
      <c r="Y96" s="1359"/>
      <c r="Z96" s="1359"/>
      <c r="AA96" s="1359"/>
    </row>
    <row r="97" spans="1:27" ht="12.75" customHeight="1" x14ac:dyDescent="0.25">
      <c r="A97" s="1367" t="s">
        <v>680</v>
      </c>
      <c r="B97" s="1390"/>
      <c r="C97" s="1390"/>
      <c r="D97" s="1463"/>
      <c r="E97" s="1464"/>
      <c r="F97" s="1761"/>
      <c r="G97" s="1753"/>
      <c r="H97" s="1754"/>
      <c r="I97" s="1359"/>
      <c r="J97" s="1359"/>
      <c r="K97" s="1359"/>
      <c r="L97" s="1359"/>
      <c r="M97" s="1461"/>
      <c r="N97" s="1359"/>
      <c r="O97" s="1359"/>
      <c r="P97" s="1359"/>
      <c r="Q97" s="1359"/>
      <c r="R97" s="1359"/>
      <c r="S97" s="1359"/>
      <c r="T97" s="1359"/>
      <c r="U97" s="1359"/>
      <c r="V97" s="1359"/>
      <c r="W97" s="1359"/>
      <c r="X97" s="1359"/>
      <c r="Y97" s="1359"/>
      <c r="Z97" s="1359"/>
      <c r="AA97" s="1359"/>
    </row>
    <row r="98" spans="1:27" x14ac:dyDescent="0.25">
      <c r="A98" s="1367" t="s">
        <v>681</v>
      </c>
      <c r="B98" s="1390"/>
      <c r="C98" s="1390"/>
      <c r="D98" s="1463"/>
      <c r="E98" s="1463"/>
      <c r="F98" s="1462"/>
      <c r="G98" s="1753"/>
      <c r="H98" s="1754"/>
      <c r="I98" s="1359"/>
      <c r="J98" s="1359"/>
      <c r="K98" s="1359"/>
      <c r="L98" s="1359"/>
      <c r="M98" s="1461"/>
      <c r="N98" s="1359"/>
      <c r="O98" s="1359"/>
      <c r="P98" s="1359"/>
      <c r="Q98" s="1359"/>
      <c r="R98" s="1359"/>
      <c r="S98" s="1359"/>
      <c r="T98" s="1359"/>
      <c r="U98" s="1359"/>
      <c r="V98" s="1359"/>
      <c r="W98" s="1359"/>
      <c r="X98" s="1359"/>
      <c r="Y98" s="1359"/>
      <c r="Z98" s="1359"/>
      <c r="AA98" s="1359"/>
    </row>
    <row r="99" spans="1:27" x14ac:dyDescent="0.25">
      <c r="A99" s="1390"/>
      <c r="B99" s="1390"/>
      <c r="C99" s="1367"/>
      <c r="D99" s="1391"/>
      <c r="E99" s="1391"/>
      <c r="F99" s="1463"/>
      <c r="G99" s="1464"/>
      <c r="H99" s="1754"/>
      <c r="I99" s="1359"/>
      <c r="J99" s="1359"/>
      <c r="K99" s="1359"/>
      <c r="L99" s="1359"/>
      <c r="M99" s="1461"/>
      <c r="N99" s="1359"/>
      <c r="O99" s="1359"/>
      <c r="P99" s="1359"/>
      <c r="Q99" s="1359"/>
      <c r="R99" s="1359"/>
      <c r="S99" s="1359"/>
      <c r="T99" s="1359"/>
      <c r="U99" s="1359"/>
      <c r="V99" s="1359"/>
      <c r="W99" s="1359"/>
      <c r="X99" s="1359"/>
      <c r="Y99" s="1359"/>
      <c r="Z99" s="1359"/>
      <c r="AA99" s="1359"/>
    </row>
    <row r="100" spans="1:27" x14ac:dyDescent="0.25">
      <c r="A100" s="1365"/>
      <c r="B100" s="1367" t="s">
        <v>682</v>
      </c>
      <c r="C100" s="1365"/>
      <c r="D100" s="1365"/>
      <c r="E100" s="1365"/>
      <c r="F100" s="1365"/>
      <c r="G100" s="1365"/>
      <c r="H100" s="1365"/>
      <c r="I100" s="1359"/>
      <c r="J100" s="1359"/>
      <c r="K100" s="1359"/>
      <c r="L100" s="1359"/>
      <c r="M100" s="1359"/>
      <c r="N100" s="1359"/>
      <c r="O100" s="1359"/>
      <c r="P100" s="1359"/>
      <c r="Q100" s="1359"/>
      <c r="R100" s="1359"/>
      <c r="S100" s="1359"/>
      <c r="T100" s="1359"/>
      <c r="U100" s="1359"/>
      <c r="V100" s="1359"/>
      <c r="W100" s="1359"/>
      <c r="X100" s="1359"/>
      <c r="Y100" s="1359"/>
      <c r="Z100" s="1359"/>
      <c r="AA100" s="1359"/>
    </row>
    <row r="101" spans="1:27" x14ac:dyDescent="0.25">
      <c r="A101" s="1365"/>
      <c r="B101" s="1365"/>
      <c r="C101" s="1465"/>
      <c r="D101" s="1457" t="s">
        <v>675</v>
      </c>
      <c r="E101" s="1458">
        <v>5</v>
      </c>
      <c r="F101" s="1365"/>
      <c r="G101" s="1365"/>
      <c r="H101" s="1365"/>
      <c r="I101" s="1359"/>
      <c r="J101" s="1359"/>
      <c r="K101" s="1359"/>
      <c r="L101" s="1359"/>
      <c r="M101" s="1359"/>
      <c r="N101" s="1359"/>
      <c r="O101" s="1359"/>
      <c r="P101" s="1359"/>
      <c r="Q101" s="1359"/>
      <c r="R101" s="1359"/>
      <c r="S101" s="1359"/>
      <c r="T101" s="1359"/>
      <c r="U101" s="1359"/>
      <c r="V101" s="1359"/>
      <c r="W101" s="1359"/>
      <c r="X101" s="1359"/>
      <c r="Y101" s="1359"/>
      <c r="Z101" s="1359"/>
      <c r="AA101" s="1359"/>
    </row>
    <row r="102" spans="1:27" ht="12.75" customHeight="1" x14ac:dyDescent="0.25">
      <c r="A102" s="1755" t="s">
        <v>683</v>
      </c>
      <c r="B102" s="1756">
        <v>4</v>
      </c>
      <c r="C102" s="1757" t="s">
        <v>684</v>
      </c>
      <c r="D102" s="1756">
        <v>4</v>
      </c>
      <c r="E102" s="1758" t="s">
        <v>685</v>
      </c>
      <c r="F102" s="1756">
        <v>4</v>
      </c>
      <c r="G102" s="1757" t="s">
        <v>686</v>
      </c>
      <c r="H102" s="1759">
        <v>4</v>
      </c>
      <c r="I102" s="1359"/>
      <c r="J102" s="1359"/>
      <c r="K102" s="1359"/>
      <c r="L102" s="1359"/>
      <c r="M102" s="1359"/>
      <c r="N102" s="1359"/>
      <c r="O102" s="1359"/>
      <c r="P102" s="1359"/>
      <c r="Q102" s="1359"/>
      <c r="R102" s="1359"/>
      <c r="S102" s="1359"/>
      <c r="T102" s="1359"/>
      <c r="U102" s="1359"/>
      <c r="V102" s="1359"/>
      <c r="W102" s="1359"/>
      <c r="X102" s="1359"/>
      <c r="Y102" s="1359"/>
      <c r="Z102" s="1359"/>
      <c r="AA102" s="1359"/>
    </row>
    <row r="103" spans="1:27" x14ac:dyDescent="0.25">
      <c r="A103" s="1755"/>
      <c r="B103" s="1756"/>
      <c r="C103" s="1757"/>
      <c r="D103" s="1756"/>
      <c r="E103" s="1758"/>
      <c r="F103" s="1756"/>
      <c r="G103" s="1757"/>
      <c r="H103" s="1759"/>
      <c r="I103" s="1359"/>
      <c r="J103" s="1359"/>
      <c r="K103" s="1359"/>
      <c r="L103" s="1359"/>
      <c r="M103" s="1359"/>
      <c r="N103" s="1359"/>
      <c r="O103" s="1359"/>
      <c r="P103" s="1359"/>
      <c r="Q103" s="1359"/>
      <c r="R103" s="1359"/>
      <c r="S103" s="1359"/>
      <c r="T103" s="1359"/>
      <c r="U103" s="1359"/>
      <c r="V103" s="1359"/>
      <c r="W103" s="1359"/>
      <c r="X103" s="1359"/>
      <c r="Y103" s="1359"/>
      <c r="Z103" s="1359"/>
      <c r="AA103" s="1359"/>
    </row>
    <row r="104" spans="1:27" x14ac:dyDescent="0.25">
      <c r="A104" s="1755"/>
      <c r="B104" s="1756"/>
      <c r="C104" s="1757"/>
      <c r="D104" s="1756"/>
      <c r="E104" s="1758"/>
      <c r="F104" s="1756"/>
      <c r="G104" s="1757"/>
      <c r="H104" s="17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</row>
    <row r="105" spans="1:27" x14ac:dyDescent="0.25">
      <c r="A105" s="1755"/>
      <c r="B105" s="1756"/>
      <c r="C105" s="1757"/>
      <c r="D105" s="1756"/>
      <c r="E105" s="1758"/>
      <c r="F105" s="1756"/>
      <c r="G105" s="1757"/>
      <c r="H105" s="1759"/>
      <c r="I105" s="1359"/>
      <c r="J105" s="1359"/>
      <c r="K105" s="1359"/>
      <c r="L105" s="1359"/>
      <c r="M105" s="1359"/>
      <c r="N105" s="1359"/>
      <c r="O105" s="1359"/>
      <c r="P105" s="1359"/>
      <c r="Q105" s="1359"/>
      <c r="R105" s="1359"/>
      <c r="S105" s="1359"/>
      <c r="T105" s="1359"/>
      <c r="U105" s="1359"/>
      <c r="V105" s="1359"/>
      <c r="W105" s="1359"/>
      <c r="X105" s="1359"/>
      <c r="Y105" s="1359"/>
      <c r="Z105" s="1359"/>
      <c r="AA105" s="1359"/>
    </row>
    <row r="106" spans="1:27" x14ac:dyDescent="0.25">
      <c r="A106" s="1755"/>
      <c r="B106" s="1756"/>
      <c r="C106" s="1757"/>
      <c r="D106" s="1756"/>
      <c r="E106" s="1758"/>
      <c r="F106" s="1756"/>
      <c r="G106" s="1757"/>
      <c r="H106" s="1759"/>
      <c r="I106" s="1359"/>
      <c r="J106" s="1359"/>
      <c r="K106" s="1359"/>
      <c r="L106" s="1359"/>
      <c r="M106" s="1359"/>
      <c r="N106" s="1359"/>
      <c r="O106" s="1359"/>
      <c r="P106" s="1359"/>
      <c r="Q106" s="1359"/>
      <c r="R106" s="1359"/>
      <c r="S106" s="1359"/>
      <c r="T106" s="1359"/>
      <c r="U106" s="1359"/>
      <c r="V106" s="1359"/>
      <c r="W106" s="1359"/>
      <c r="X106" s="1359"/>
      <c r="Y106" s="1359"/>
      <c r="Z106" s="1359"/>
      <c r="AA106" s="1359"/>
    </row>
    <row r="107" spans="1:27" x14ac:dyDescent="0.25">
      <c r="A107" s="1755"/>
      <c r="B107" s="1756"/>
      <c r="C107" s="1757"/>
      <c r="D107" s="1756"/>
      <c r="E107" s="1758"/>
      <c r="F107" s="1756"/>
      <c r="G107" s="1757"/>
      <c r="H107" s="1759"/>
      <c r="I107" s="1359"/>
      <c r="J107" s="1359"/>
      <c r="K107" s="1359"/>
      <c r="L107" s="1359"/>
      <c r="M107" s="1359"/>
      <c r="N107" s="1359"/>
      <c r="O107" s="1359"/>
      <c r="P107" s="1359"/>
      <c r="Q107" s="1359"/>
      <c r="R107" s="1359"/>
      <c r="S107" s="1359"/>
      <c r="T107" s="1359"/>
      <c r="U107" s="1359"/>
      <c r="V107" s="1359"/>
      <c r="W107" s="1359"/>
      <c r="X107" s="1359"/>
      <c r="Y107" s="1359"/>
      <c r="Z107" s="1359"/>
      <c r="AA107" s="1359"/>
    </row>
    <row r="108" spans="1:27" x14ac:dyDescent="0.25">
      <c r="A108" s="1755"/>
      <c r="B108" s="1756"/>
      <c r="C108" s="1757"/>
      <c r="D108" s="1756"/>
      <c r="E108" s="1758"/>
      <c r="F108" s="1756"/>
      <c r="G108" s="1757"/>
      <c r="H108" s="1759"/>
      <c r="I108" s="1359"/>
      <c r="J108" s="1359"/>
      <c r="K108" s="1359"/>
      <c r="L108" s="1359"/>
      <c r="M108" s="1359"/>
      <c r="N108" s="1359"/>
      <c r="O108" s="1359"/>
      <c r="P108" s="1359"/>
      <c r="Q108" s="1359"/>
      <c r="R108" s="1359"/>
      <c r="S108" s="1359"/>
      <c r="T108" s="1359"/>
      <c r="U108" s="1359"/>
      <c r="V108" s="1359"/>
      <c r="W108" s="1359"/>
      <c r="X108" s="1359"/>
      <c r="Y108" s="1359"/>
      <c r="Z108" s="1359"/>
      <c r="AA108" s="1359"/>
    </row>
    <row r="109" spans="1:27" x14ac:dyDescent="0.25">
      <c r="A109" s="1365"/>
      <c r="B109" s="1365"/>
      <c r="C109" s="1365"/>
      <c r="D109" s="1365"/>
      <c r="E109" s="1365"/>
      <c r="F109" s="1365"/>
      <c r="G109" s="1365"/>
      <c r="H109" s="1365"/>
      <c r="I109" s="1359"/>
      <c r="J109" s="1359"/>
      <c r="K109" s="1359"/>
      <c r="L109" s="1359"/>
      <c r="M109" s="1359"/>
      <c r="N109" s="1359"/>
      <c r="O109" s="1359"/>
      <c r="P109" s="1359"/>
      <c r="Q109" s="1359"/>
      <c r="R109" s="1359"/>
      <c r="S109" s="1359"/>
      <c r="T109" s="1359"/>
      <c r="U109" s="1359"/>
      <c r="V109" s="1359"/>
      <c r="W109" s="1359"/>
      <c r="X109" s="1359"/>
      <c r="Y109" s="1359"/>
      <c r="Z109" s="1359"/>
      <c r="AA109" s="1359"/>
    </row>
    <row r="110" spans="1:27" x14ac:dyDescent="0.25">
      <c r="A110" s="1359"/>
      <c r="B110" s="1359"/>
      <c r="C110" s="1359"/>
      <c r="D110" s="1359"/>
      <c r="E110" s="1359"/>
      <c r="F110" s="1359"/>
      <c r="G110" s="1359"/>
      <c r="H110" s="1359"/>
      <c r="I110" s="1359"/>
      <c r="J110" s="1359"/>
      <c r="K110" s="1359"/>
      <c r="L110" s="1359"/>
      <c r="M110" s="1359"/>
      <c r="N110" s="1359"/>
      <c r="O110" s="1359"/>
      <c r="P110" s="1359"/>
      <c r="Q110" s="1359"/>
      <c r="R110" s="1359"/>
      <c r="S110" s="1359"/>
      <c r="T110" s="1359"/>
      <c r="U110" s="1359"/>
      <c r="V110" s="1359"/>
      <c r="W110" s="1359"/>
      <c r="X110" s="1359"/>
      <c r="Y110" s="1359"/>
      <c r="Z110" s="1359"/>
      <c r="AA110" s="1359"/>
    </row>
    <row r="111" spans="1:27" x14ac:dyDescent="0.25">
      <c r="A111" s="1359"/>
      <c r="B111" s="1359"/>
      <c r="C111" s="1359"/>
      <c r="D111" s="1359"/>
      <c r="E111" s="1359"/>
      <c r="F111" s="1359"/>
      <c r="G111" s="1359"/>
      <c r="H111" s="1359"/>
      <c r="I111" s="1359"/>
      <c r="J111" s="1359"/>
      <c r="K111" s="1359"/>
      <c r="L111" s="1359"/>
      <c r="M111" s="1359"/>
      <c r="N111" s="1359"/>
      <c r="O111" s="1359"/>
      <c r="P111" s="1359"/>
      <c r="Q111" s="1359"/>
      <c r="R111" s="1359"/>
      <c r="S111" s="1359"/>
      <c r="T111" s="1359"/>
      <c r="U111" s="1359"/>
      <c r="V111" s="1359"/>
      <c r="W111" s="1359"/>
      <c r="X111" s="1359"/>
      <c r="Y111" s="1359"/>
      <c r="Z111" s="1359"/>
      <c r="AA111" s="1359"/>
    </row>
    <row r="112" spans="1:27" x14ac:dyDescent="0.25">
      <c r="A112" s="1466"/>
      <c r="B112" s="1466"/>
      <c r="C112" s="1467"/>
      <c r="D112" s="1466"/>
      <c r="E112" s="1467"/>
      <c r="F112" s="1468"/>
      <c r="G112" s="1469"/>
      <c r="H112" s="1470"/>
      <c r="I112" s="1470"/>
      <c r="J112" s="1359"/>
      <c r="K112" s="1359"/>
      <c r="L112" s="1359"/>
      <c r="M112" s="1359"/>
      <c r="N112" s="1359"/>
      <c r="O112" s="1359"/>
      <c r="P112" s="1359"/>
      <c r="Q112" s="1359"/>
      <c r="R112" s="1359"/>
      <c r="S112" s="1359"/>
      <c r="T112" s="1359"/>
      <c r="U112" s="1359"/>
      <c r="V112" s="1359"/>
      <c r="W112" s="1359"/>
      <c r="X112" s="1359"/>
      <c r="Y112" s="1359"/>
      <c r="Z112" s="1359"/>
      <c r="AA112" s="1359"/>
    </row>
  </sheetData>
  <sheetProtection selectLockedCells="1" selectUnlockedCells="1"/>
  <mergeCells count="40">
    <mergeCell ref="H91:H99"/>
    <mergeCell ref="A102:A108"/>
    <mergeCell ref="B102:B108"/>
    <mergeCell ref="C102:C108"/>
    <mergeCell ref="D102:D108"/>
    <mergeCell ref="E102:E108"/>
    <mergeCell ref="F102:F108"/>
    <mergeCell ref="G102:G108"/>
    <mergeCell ref="H102:H108"/>
    <mergeCell ref="A91:A93"/>
    <mergeCell ref="B91:B93"/>
    <mergeCell ref="C91:C94"/>
    <mergeCell ref="D91:D95"/>
    <mergeCell ref="E91:E96"/>
    <mergeCell ref="F91:F97"/>
    <mergeCell ref="E63:F63"/>
    <mergeCell ref="A75:A76"/>
    <mergeCell ref="B75:C75"/>
    <mergeCell ref="F75:F76"/>
    <mergeCell ref="G91:G98"/>
    <mergeCell ref="B81:D81"/>
    <mergeCell ref="A52:B52"/>
    <mergeCell ref="A53:B53"/>
    <mergeCell ref="A54:B54"/>
    <mergeCell ref="A55:B55"/>
    <mergeCell ref="A56:B56"/>
    <mergeCell ref="A57:B57"/>
    <mergeCell ref="B60:D60"/>
    <mergeCell ref="A51:B51"/>
    <mergeCell ref="A1:H1"/>
    <mergeCell ref="A21:B21"/>
    <mergeCell ref="A39:B39"/>
    <mergeCell ref="A40:B40"/>
    <mergeCell ref="A41:B41"/>
    <mergeCell ref="A42:B42"/>
    <mergeCell ref="A46:B46"/>
    <mergeCell ref="A47:B47"/>
    <mergeCell ref="A48:B48"/>
    <mergeCell ref="A49:B49"/>
    <mergeCell ref="A50:B50"/>
  </mergeCells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81"/>
  <sheetViews>
    <sheetView tabSelected="1" view="pageBreakPreview" zoomScale="80" zoomScaleNormal="80" zoomScaleSheetLayoutView="80" workbookViewId="0">
      <selection activeCell="A12" sqref="A12:L13"/>
    </sheetView>
  </sheetViews>
  <sheetFormatPr defaultColWidth="9.21875" defaultRowHeight="13.2" x14ac:dyDescent="0.25"/>
  <cols>
    <col min="1" max="1" width="8.109375" style="349" customWidth="1"/>
    <col min="2" max="2" width="7.33203125" style="349" customWidth="1"/>
    <col min="3" max="3" width="52.77734375" style="349" customWidth="1"/>
    <col min="4" max="5" width="9.33203125" style="349" customWidth="1"/>
    <col min="6" max="6" width="9.6640625" style="349" customWidth="1"/>
    <col min="7" max="7" width="15" style="349" customWidth="1"/>
    <col min="8" max="8" width="9.33203125" style="349" customWidth="1"/>
    <col min="9" max="9" width="9.21875" style="349" customWidth="1"/>
    <col min="10" max="10" width="9.33203125" style="349" customWidth="1"/>
    <col min="11" max="11" width="16.6640625" style="349" customWidth="1"/>
    <col min="12" max="12" width="10.109375" style="349" customWidth="1"/>
    <col min="13" max="15" width="9.6640625" style="349" customWidth="1"/>
    <col min="16" max="18" width="9.33203125" style="349" customWidth="1"/>
    <col min="19" max="20" width="10.6640625" style="349" customWidth="1"/>
    <col min="21" max="21" width="9.21875" style="349"/>
    <col min="22" max="22" width="15.21875" style="349" customWidth="1"/>
    <col min="23" max="23" width="9.21875" style="349"/>
    <col min="24" max="24" width="17.21875" style="349" customWidth="1"/>
    <col min="25" max="16384" width="9.21875" style="349"/>
  </cols>
  <sheetData>
    <row r="2" spans="1:23" ht="20.100000000000001" customHeight="1" x14ac:dyDescent="0.25">
      <c r="A2" s="503"/>
      <c r="B2" s="1796" t="s">
        <v>710</v>
      </c>
      <c r="C2" s="1795" t="str">
        <f>ORÇAMENTÁRIA!D1</f>
        <v>J J BORGES DE OLIVEIRA EIRELI</v>
      </c>
      <c r="E2" s="1788"/>
      <c r="F2" s="1788"/>
      <c r="G2" s="1788"/>
      <c r="H2" s="1788"/>
      <c r="I2" s="1788"/>
      <c r="J2" s="1788"/>
      <c r="K2" s="1788"/>
      <c r="L2" s="1785"/>
      <c r="M2" s="1785"/>
      <c r="N2" s="1785"/>
      <c r="O2" s="351"/>
      <c r="P2" s="351"/>
      <c r="Q2" s="351"/>
      <c r="R2" s="351"/>
      <c r="S2" s="351"/>
      <c r="T2" s="351"/>
    </row>
    <row r="3" spans="1:23" ht="20.100000000000001" customHeight="1" x14ac:dyDescent="0.25">
      <c r="A3" s="503"/>
      <c r="B3" s="1796" t="s">
        <v>712</v>
      </c>
      <c r="C3" s="1795" t="str">
        <f>ORÇAMENTÁRIA!D2</f>
        <v>20.129.307/0001-02</v>
      </c>
      <c r="E3" s="1789"/>
      <c r="F3" s="1789"/>
      <c r="G3" s="1789"/>
      <c r="H3" s="1789"/>
      <c r="I3" s="1789"/>
      <c r="J3" s="1789"/>
      <c r="K3" s="1789"/>
      <c r="L3" s="354"/>
      <c r="M3" s="354"/>
      <c r="N3" s="354"/>
      <c r="O3" s="351"/>
      <c r="P3" s="351"/>
      <c r="Q3" s="351"/>
      <c r="R3" s="351"/>
      <c r="S3" s="351"/>
      <c r="T3" s="351"/>
    </row>
    <row r="4" spans="1:23" ht="27" customHeight="1" x14ac:dyDescent="0.25">
      <c r="A4" s="1823" t="s">
        <v>719</v>
      </c>
      <c r="B4" s="1823"/>
      <c r="C4" s="1789" t="str">
        <f>ORÇAMENTÁRIA!D3</f>
        <v>Nª 2/2021-003</v>
      </c>
      <c r="E4" s="1789"/>
      <c r="F4" s="1790"/>
      <c r="G4" s="1790"/>
      <c r="H4" s="1789"/>
      <c r="I4" s="1789"/>
      <c r="J4" s="1789"/>
      <c r="K4" s="1789"/>
      <c r="L4" s="351"/>
      <c r="M4" s="351"/>
      <c r="N4" s="351"/>
      <c r="O4" s="351"/>
      <c r="P4" s="351"/>
      <c r="Q4" s="351"/>
      <c r="R4" s="351"/>
      <c r="S4" s="351"/>
      <c r="T4" s="351"/>
    </row>
    <row r="5" spans="1:23" ht="20.100000000000001" customHeight="1" x14ac:dyDescent="0.25">
      <c r="A5" s="503"/>
      <c r="B5" s="1797" t="s">
        <v>720</v>
      </c>
      <c r="C5" s="1789" t="str">
        <f>ORÇAMENTÁRIA!D4</f>
        <v>TOMADA DE PREÇOS</v>
      </c>
      <c r="E5" s="1789"/>
      <c r="F5" s="1790"/>
      <c r="G5" s="1790"/>
      <c r="H5" s="1789"/>
      <c r="I5" s="1789"/>
      <c r="J5" s="1789"/>
      <c r="K5" s="1789"/>
      <c r="L5" s="355"/>
      <c r="M5" s="355"/>
      <c r="N5" s="355"/>
      <c r="O5" s="351"/>
      <c r="P5" s="351"/>
      <c r="Q5" s="351"/>
      <c r="R5" s="351"/>
      <c r="S5" s="351"/>
      <c r="T5" s="351"/>
    </row>
    <row r="6" spans="1:23" ht="36" customHeight="1" x14ac:dyDescent="0.25">
      <c r="A6" s="503"/>
      <c r="B6" s="1796" t="s">
        <v>715</v>
      </c>
      <c r="C6" s="1800" t="str">
        <f>ORÇAMENTÁRIA!D5</f>
        <v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v>
      </c>
      <c r="D6" s="1800"/>
      <c r="E6" s="1800"/>
      <c r="F6" s="1800"/>
      <c r="G6" s="1800"/>
      <c r="H6" s="1800"/>
      <c r="I6" s="1800"/>
      <c r="J6" s="1800"/>
      <c r="K6" s="1800"/>
      <c r="L6" s="1800"/>
      <c r="M6" s="1790"/>
      <c r="N6" s="1790"/>
      <c r="O6" s="351"/>
      <c r="P6" s="351"/>
      <c r="Q6" s="351"/>
      <c r="R6" s="351"/>
      <c r="S6" s="351"/>
      <c r="T6" s="351"/>
    </row>
    <row r="7" spans="1:23" ht="20.100000000000001" customHeight="1" x14ac:dyDescent="0.25">
      <c r="A7" s="503"/>
      <c r="B7" s="1796" t="s">
        <v>716</v>
      </c>
      <c r="C7" s="1789" t="str">
        <f>ORÇAMENTÁRIA!D6</f>
        <v>PREFEITURA MINUCIPAL DE AURORA DO PARÁ</v>
      </c>
      <c r="E7" s="1789"/>
      <c r="F7" s="1789"/>
      <c r="G7" s="1789"/>
      <c r="H7" s="1789"/>
      <c r="I7" s="1789"/>
      <c r="J7" s="1789"/>
      <c r="K7" s="1789"/>
      <c r="L7" s="1785"/>
      <c r="M7" s="1785"/>
      <c r="N7" s="1785"/>
      <c r="O7" s="351"/>
      <c r="P7" s="351"/>
      <c r="Q7" s="351"/>
      <c r="R7" s="351"/>
      <c r="S7" s="351"/>
      <c r="T7" s="351"/>
    </row>
    <row r="8" spans="1:23" ht="20.100000000000001" customHeight="1" x14ac:dyDescent="0.25">
      <c r="A8" s="503"/>
      <c r="B8" s="1798" t="s">
        <v>717</v>
      </c>
      <c r="C8" s="1792">
        <f>ORÇAMENTÁRIA!D7</f>
        <v>0.25569999999999998</v>
      </c>
      <c r="E8" s="1789"/>
      <c r="F8" s="1789"/>
      <c r="G8" s="1789"/>
      <c r="H8" s="1789"/>
      <c r="I8" s="1789"/>
      <c r="J8" s="1789"/>
      <c r="K8" s="1789"/>
      <c r="L8" s="354"/>
      <c r="M8" s="354"/>
      <c r="N8" s="354"/>
      <c r="O8" s="351"/>
      <c r="P8" s="351"/>
      <c r="Q8" s="351"/>
      <c r="R8" s="351"/>
      <c r="S8" s="351"/>
      <c r="T8" s="351"/>
    </row>
    <row r="9" spans="1:23" ht="23.4" customHeight="1" x14ac:dyDescent="0.25">
      <c r="A9" s="1824" t="s">
        <v>718</v>
      </c>
      <c r="B9" s="1824"/>
      <c r="C9" s="1789" t="str">
        <f>ORÇAMENTÁRIA!D8</f>
        <v xml:space="preserve"> PA MANOEL CRESCÊNCIO DE SOUZA</v>
      </c>
      <c r="E9" s="1789"/>
      <c r="F9" s="1789"/>
      <c r="G9" s="1789"/>
      <c r="H9" s="1789"/>
      <c r="I9" s="1789"/>
      <c r="J9" s="1789"/>
      <c r="K9" s="1789"/>
      <c r="L9" s="356"/>
      <c r="M9" s="356"/>
      <c r="N9" s="356"/>
      <c r="O9" s="351"/>
      <c r="P9" s="351"/>
      <c r="Q9" s="351"/>
      <c r="R9" s="351"/>
      <c r="S9" s="351"/>
      <c r="T9" s="351"/>
    </row>
    <row r="10" spans="1:23" ht="20.100000000000001" customHeight="1" x14ac:dyDescent="0.25">
      <c r="A10" s="503"/>
      <c r="B10" s="503"/>
      <c r="C10" s="503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</row>
    <row r="11" spans="1:23" ht="20.100000000000001" customHeight="1" x14ac:dyDescent="0.25">
      <c r="A11" s="1815" t="s">
        <v>249</v>
      </c>
      <c r="B11" s="1816"/>
      <c r="C11" s="1816"/>
      <c r="D11" s="1816"/>
      <c r="E11" s="1816"/>
      <c r="F11" s="1816"/>
      <c r="G11" s="1816"/>
      <c r="H11" s="1816"/>
      <c r="I11" s="1816"/>
      <c r="J11" s="1816"/>
      <c r="K11" s="1816"/>
      <c r="L11" s="1816"/>
      <c r="M11" s="1816"/>
      <c r="N11" s="1816"/>
      <c r="O11" s="1816"/>
      <c r="P11" s="1816"/>
      <c r="Q11" s="1816"/>
      <c r="R11" s="1816"/>
      <c r="S11" s="1816"/>
      <c r="T11" s="1817"/>
    </row>
    <row r="12" spans="1:23" ht="24.9" customHeight="1" thickBot="1" x14ac:dyDescent="0.3">
      <c r="A12" s="1802"/>
      <c r="B12" s="1803"/>
      <c r="C12" s="1804" t="s">
        <v>250</v>
      </c>
      <c r="D12" s="1805">
        <v>3.2332999999999998</v>
      </c>
      <c r="E12" s="1806"/>
      <c r="F12" s="1807"/>
      <c r="G12" s="1804" t="s">
        <v>251</v>
      </c>
      <c r="H12" s="1808">
        <f>'[1]Atualização de custos unitarios'!E122</f>
        <v>4.0591999999999997</v>
      </c>
      <c r="I12" s="1806"/>
      <c r="J12" s="1807"/>
      <c r="K12" s="1804" t="s">
        <v>252</v>
      </c>
      <c r="L12" s="1809">
        <f>'[1]Atualização de custos unitarios'!E135</f>
        <v>0.92110000000000003</v>
      </c>
      <c r="M12" s="1810"/>
      <c r="N12" s="806"/>
      <c r="O12" s="1811" t="s">
        <v>253</v>
      </c>
      <c r="P12" s="1811"/>
      <c r="Q12" s="1811"/>
      <c r="R12" s="1811"/>
      <c r="S12" s="1811"/>
      <c r="T12" s="1811"/>
    </row>
    <row r="13" spans="1:23" ht="27.9" customHeight="1" thickBot="1" x14ac:dyDescent="0.3">
      <c r="A13" s="553"/>
      <c r="B13" s="554"/>
      <c r="C13" s="555" t="s">
        <v>254</v>
      </c>
      <c r="D13" s="556">
        <v>2.5000000000000001E-2</v>
      </c>
      <c r="E13" s="557"/>
      <c r="F13" s="558"/>
      <c r="G13" s="554"/>
      <c r="I13" s="555" t="s">
        <v>255</v>
      </c>
      <c r="J13" s="556">
        <v>0.06</v>
      </c>
      <c r="K13" s="559"/>
      <c r="L13" s="560"/>
      <c r="M13" s="561"/>
      <c r="N13" s="562"/>
      <c r="O13" s="1571"/>
      <c r="P13" s="1571"/>
      <c r="Q13" s="1571"/>
      <c r="R13" s="1571"/>
      <c r="S13" s="1571"/>
      <c r="T13" s="1571"/>
    </row>
    <row r="14" spans="1:23" ht="15" customHeight="1" x14ac:dyDescent="0.25">
      <c r="A14" s="1572" t="s">
        <v>256</v>
      </c>
      <c r="B14" s="1572"/>
      <c r="C14" s="1573" t="s">
        <v>257</v>
      </c>
      <c r="D14" s="1574" t="s">
        <v>258</v>
      </c>
      <c r="E14" s="1574" t="s">
        <v>259</v>
      </c>
      <c r="F14" s="1574" t="s">
        <v>260</v>
      </c>
      <c r="G14" s="1574" t="s">
        <v>261</v>
      </c>
      <c r="H14" s="1574" t="s">
        <v>262</v>
      </c>
      <c r="I14" s="1574" t="s">
        <v>263</v>
      </c>
      <c r="J14" s="1574" t="s">
        <v>264</v>
      </c>
      <c r="K14" s="1574" t="s">
        <v>265</v>
      </c>
      <c r="L14" s="1574"/>
      <c r="M14" s="1575" t="s">
        <v>266</v>
      </c>
      <c r="N14" s="1575"/>
      <c r="O14" s="1575"/>
      <c r="P14" s="1576" t="s">
        <v>267</v>
      </c>
      <c r="Q14" s="1577" t="s">
        <v>268</v>
      </c>
      <c r="R14" s="1577"/>
      <c r="S14" s="1570" t="s">
        <v>269</v>
      </c>
      <c r="T14" s="1570"/>
      <c r="U14" s="564"/>
      <c r="V14" s="564"/>
      <c r="W14" s="564"/>
    </row>
    <row r="15" spans="1:23" ht="45" customHeight="1" x14ac:dyDescent="0.25">
      <c r="A15" s="1572"/>
      <c r="B15" s="1572"/>
      <c r="C15" s="1573"/>
      <c r="D15" s="1574"/>
      <c r="E15" s="1574"/>
      <c r="F15" s="1574"/>
      <c r="G15" s="1574"/>
      <c r="H15" s="1574"/>
      <c r="I15" s="1574"/>
      <c r="J15" s="1574"/>
      <c r="K15" s="1574"/>
      <c r="L15" s="1574"/>
      <c r="M15" s="565" t="s">
        <v>270</v>
      </c>
      <c r="N15" s="565" t="s">
        <v>271</v>
      </c>
      <c r="O15" s="565" t="s">
        <v>272</v>
      </c>
      <c r="P15" s="1576"/>
      <c r="Q15" s="566" t="s">
        <v>273</v>
      </c>
      <c r="R15" s="567" t="s">
        <v>274</v>
      </c>
      <c r="S15" s="563" t="s">
        <v>275</v>
      </c>
      <c r="T15" s="568" t="s">
        <v>276</v>
      </c>
      <c r="U15" s="564"/>
      <c r="V15" s="564">
        <v>0.4</v>
      </c>
      <c r="W15" s="564"/>
    </row>
    <row r="16" spans="1:23" ht="8.1" customHeight="1" x14ac:dyDescent="0.25">
      <c r="A16" s="569"/>
      <c r="B16" s="570"/>
      <c r="C16" s="571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2"/>
    </row>
    <row r="17" spans="1:24" ht="35.1" customHeight="1" x14ac:dyDescent="0.25">
      <c r="A17" s="573" t="str">
        <f>'[1]Atualização de custos unitarios'!A12</f>
        <v>DNIT –</v>
      </c>
      <c r="B17" s="574" t="str">
        <f>'[1]Atualização de custos unitarios'!B12</f>
        <v>E9010</v>
      </c>
      <c r="C17" s="575" t="str">
        <f>'[1]Atualização de custos unitarios'!C12</f>
        <v>Balança plataforma digital com mesa de 75 x 75 cm e capacidade de 500 kg (BKH - 500 Advanced - Balmak)</v>
      </c>
      <c r="D17" s="576"/>
      <c r="E17" s="577">
        <v>3</v>
      </c>
      <c r="F17" s="578">
        <v>2000</v>
      </c>
      <c r="G17" s="579">
        <v>4619.8770000000004</v>
      </c>
      <c r="H17" s="580">
        <v>0.1</v>
      </c>
      <c r="I17" s="581" t="s">
        <v>106</v>
      </c>
      <c r="J17" s="581">
        <v>0.5</v>
      </c>
      <c r="K17" s="582"/>
      <c r="L17" s="583"/>
      <c r="M17" s="584">
        <f>ROUND((G17*(1-H17))/(E17*F17),4)</f>
        <v>0.69299999999999995</v>
      </c>
      <c r="N17" s="585">
        <f>ROUND((G17*(E17+1)*$J$13)/(2*E17*F17),4)</f>
        <v>9.2399999999999996E-2</v>
      </c>
      <c r="O17" s="576"/>
      <c r="P17" s="585">
        <f t="shared" ref="P17:P24" si="0">ROUND((G17*J17)/(E17*F17),4)</f>
        <v>0.38500000000000001</v>
      </c>
      <c r="Q17" s="582"/>
      <c r="R17" s="583"/>
      <c r="S17" s="579">
        <f>ROUND(M17+N17+O17+P17+Q17+R17,4)</f>
        <v>1.1704000000000001</v>
      </c>
      <c r="T17" s="586">
        <f>ROUND(M17+N17+O17+R17,4)</f>
        <v>0.78539999999999999</v>
      </c>
      <c r="V17" s="1780">
        <f>X17-$V$15</f>
        <v>4619.8770000000004</v>
      </c>
      <c r="X17" s="1781">
        <v>4620.277</v>
      </c>
    </row>
    <row r="18" spans="1:24" ht="35.1" customHeight="1" x14ac:dyDescent="0.25">
      <c r="A18" s="587" t="str">
        <f>'[1]Atualização de custos unitarios'!A13</f>
        <v>DNIT –</v>
      </c>
      <c r="B18" s="588" t="str">
        <f>'[1]Atualização de custos unitarios'!B13</f>
        <v>E9064</v>
      </c>
      <c r="C18" s="575" t="str">
        <f>'[1]Atualização de custos unitarios'!C13</f>
        <v>Transportador manual gerica com capacidade de 180 l</v>
      </c>
      <c r="D18" s="589"/>
      <c r="E18" s="590">
        <v>1</v>
      </c>
      <c r="F18" s="591">
        <v>1000</v>
      </c>
      <c r="G18" s="592">
        <v>571.3193</v>
      </c>
      <c r="H18" s="593"/>
      <c r="I18" s="594"/>
      <c r="J18" s="595">
        <v>0.5</v>
      </c>
      <c r="K18" s="596"/>
      <c r="L18" s="597"/>
      <c r="M18" s="584">
        <f t="shared" ref="M17:M24" si="1">ROUND((G18*(1-H18))/(E18*F18),4)</f>
        <v>0.57130000000000003</v>
      </c>
      <c r="N18" s="585">
        <f t="shared" ref="N17:N24" si="2">ROUND((G18*(E18+1)*$J$13)/(2*E18*F18),4)</f>
        <v>3.4299999999999997E-2</v>
      </c>
      <c r="O18" s="598"/>
      <c r="P18" s="585">
        <f t="shared" si="0"/>
        <v>0.28570000000000001</v>
      </c>
      <c r="Q18" s="596"/>
      <c r="R18" s="597"/>
      <c r="S18" s="579">
        <f t="shared" ref="S17:S24" si="3">ROUND(M18+N18+O18+P18+Q18+R18,4)</f>
        <v>0.89129999999999998</v>
      </c>
      <c r="T18" s="586">
        <f t="shared" ref="T17:T24" si="4">ROUND(M18+N18+O18+R18,4)</f>
        <v>0.60560000000000003</v>
      </c>
      <c r="V18" s="1780">
        <f t="shared" ref="V18:V76" si="5">X18-$V$15</f>
        <v>571.3193</v>
      </c>
      <c r="X18" s="1781">
        <v>571.71929999999998</v>
      </c>
    </row>
    <row r="19" spans="1:24" ht="35.1" customHeight="1" x14ac:dyDescent="0.25">
      <c r="A19" s="587" t="str">
        <f>'[1]Atualização de custos unitarios'!A14</f>
        <v>DNIT –</v>
      </c>
      <c r="B19" s="588" t="str">
        <f>'[1]Atualização de custos unitarios'!B14</f>
        <v>E9066</v>
      </c>
      <c r="C19" s="575" t="str">
        <f>'[1]Atualização de custos unitarios'!C14</f>
        <v>Grupo gerador - 13 / 14 kVA</v>
      </c>
      <c r="D19" s="599">
        <v>11</v>
      </c>
      <c r="E19" s="599">
        <v>7</v>
      </c>
      <c r="F19" s="600">
        <v>2000</v>
      </c>
      <c r="G19" s="601">
        <v>37065.4902</v>
      </c>
      <c r="H19" s="602">
        <v>0.3</v>
      </c>
      <c r="I19" s="603" t="s">
        <v>277</v>
      </c>
      <c r="J19" s="603">
        <v>0.5</v>
      </c>
      <c r="K19" s="596"/>
      <c r="L19" s="597"/>
      <c r="M19" s="584">
        <f t="shared" si="1"/>
        <v>1.8532999999999999</v>
      </c>
      <c r="N19" s="585">
        <f t="shared" si="2"/>
        <v>0.63539999999999996</v>
      </c>
      <c r="O19" s="604"/>
      <c r="P19" s="585">
        <f t="shared" si="0"/>
        <v>1.3238000000000001</v>
      </c>
      <c r="Q19" s="585">
        <f>ROUND(0.18*D19*$D$12,4)</f>
        <v>6.4019000000000004</v>
      </c>
      <c r="R19" s="604"/>
      <c r="S19" s="579">
        <f t="shared" si="3"/>
        <v>10.214399999999999</v>
      </c>
      <c r="T19" s="586">
        <f t="shared" si="4"/>
        <v>2.4887000000000001</v>
      </c>
      <c r="V19" s="1780">
        <f t="shared" si="5"/>
        <v>37065.4902</v>
      </c>
      <c r="X19" s="1781">
        <v>37065.890200000002</v>
      </c>
    </row>
    <row r="20" spans="1:24" ht="35.1" customHeight="1" x14ac:dyDescent="0.25">
      <c r="A20" s="587" t="str">
        <f>'[1]Atualização de custos unitarios'!A15</f>
        <v>DNIT –</v>
      </c>
      <c r="B20" s="588" t="str">
        <f>'[1]Atualização de custos unitarios'!B15</f>
        <v>E9069</v>
      </c>
      <c r="C20" s="575" t="str">
        <f>'[1]Atualização de custos unitarios'!C15</f>
        <v>Vibrador de imersão para concreto - 4,1 kW (D = 35 mm - Menegotti)</v>
      </c>
      <c r="D20" s="590">
        <v>4.0999999999999996</v>
      </c>
      <c r="E20" s="590">
        <v>5</v>
      </c>
      <c r="F20" s="591">
        <v>1000</v>
      </c>
      <c r="G20" s="592">
        <v>2692.5009</v>
      </c>
      <c r="H20" s="605">
        <v>0.2</v>
      </c>
      <c r="I20" s="595" t="s">
        <v>278</v>
      </c>
      <c r="J20" s="595">
        <v>0.5</v>
      </c>
      <c r="K20" s="596"/>
      <c r="L20" s="597"/>
      <c r="M20" s="584">
        <f t="shared" si="1"/>
        <v>0.43080000000000002</v>
      </c>
      <c r="N20" s="585">
        <f t="shared" si="2"/>
        <v>9.69E-2</v>
      </c>
      <c r="O20" s="598"/>
      <c r="P20" s="585">
        <f t="shared" si="0"/>
        <v>0.26929999999999998</v>
      </c>
      <c r="Q20" s="592">
        <f>ROUND(0.2*D20*$H$12,4)</f>
        <v>3.3285</v>
      </c>
      <c r="R20" s="604"/>
      <c r="S20" s="579">
        <f t="shared" si="3"/>
        <v>4.1254999999999997</v>
      </c>
      <c r="T20" s="586">
        <f t="shared" si="4"/>
        <v>0.52769999999999995</v>
      </c>
      <c r="V20" s="1780">
        <f t="shared" si="5"/>
        <v>2692.5009</v>
      </c>
      <c r="X20" s="1781">
        <v>2692.9009000000001</v>
      </c>
    </row>
    <row r="21" spans="1:24" ht="35.1" customHeight="1" x14ac:dyDescent="0.25">
      <c r="A21" s="587" t="str">
        <f>'[1]Atualização de custos unitarios'!A16</f>
        <v>DNIT –</v>
      </c>
      <c r="B21" s="588" t="str">
        <f>'[1]Atualização de custos unitarios'!B16</f>
        <v>E9071</v>
      </c>
      <c r="C21" s="575" t="str">
        <f>'[1]Atualização de custos unitarios'!C16</f>
        <v>Transportador manual carrinho de mão com capacidade de 80 l</v>
      </c>
      <c r="D21" s="606"/>
      <c r="E21" s="590">
        <v>1</v>
      </c>
      <c r="F21" s="591">
        <v>1000</v>
      </c>
      <c r="G21" s="592">
        <v>223.36669999999998</v>
      </c>
      <c r="H21" s="593"/>
      <c r="I21" s="594"/>
      <c r="J21" s="595">
        <v>0.5</v>
      </c>
      <c r="K21" s="607"/>
      <c r="L21" s="608"/>
      <c r="M21" s="584">
        <f t="shared" si="1"/>
        <v>0.22339999999999999</v>
      </c>
      <c r="N21" s="585">
        <f t="shared" si="2"/>
        <v>1.34E-2</v>
      </c>
      <c r="O21" s="598"/>
      <c r="P21" s="585">
        <f t="shared" si="0"/>
        <v>0.11169999999999999</v>
      </c>
      <c r="Q21" s="582"/>
      <c r="R21" s="608"/>
      <c r="S21" s="579">
        <f t="shared" si="3"/>
        <v>0.34849999999999998</v>
      </c>
      <c r="T21" s="586">
        <f t="shared" si="4"/>
        <v>0.23680000000000001</v>
      </c>
      <c r="V21" s="1780">
        <f t="shared" si="5"/>
        <v>223.36669999999998</v>
      </c>
      <c r="X21" s="1781">
        <v>223.76669999999999</v>
      </c>
    </row>
    <row r="22" spans="1:24" ht="35.1" customHeight="1" x14ac:dyDescent="0.25">
      <c r="A22" s="587" t="str">
        <f>'[1]Atualização de custos unitarios'!A17</f>
        <v>DNIT –</v>
      </c>
      <c r="B22" s="588" t="str">
        <f>'[1]Atualização de custos unitarios'!B17</f>
        <v>E9076</v>
      </c>
      <c r="C22" s="575" t="str">
        <f>'[1]Atualização de custos unitarios'!C17</f>
        <v>Equipamento de pintura com cabine de 7,00 kW e estufa de 80.000 kCal para pintura eletrostática</v>
      </c>
      <c r="D22" s="590">
        <v>7</v>
      </c>
      <c r="E22" s="590">
        <v>7</v>
      </c>
      <c r="F22" s="591">
        <v>2000</v>
      </c>
      <c r="G22" s="592">
        <v>126689.1778</v>
      </c>
      <c r="H22" s="605">
        <v>0.1</v>
      </c>
      <c r="I22" s="595" t="s">
        <v>106</v>
      </c>
      <c r="J22" s="595">
        <v>0.5</v>
      </c>
      <c r="K22" s="609" t="str">
        <f>CONCATENATE('[1]Atualização de custos unitarios'!B87," - ",'[1]Atualização de custos unitarios'!C87)</f>
        <v>P9843 - Operador de equipamento leve</v>
      </c>
      <c r="L22" s="610">
        <f>'[1]Atualização de custos unitarios'!E87</f>
        <v>19.903300000000002</v>
      </c>
      <c r="M22" s="584">
        <f t="shared" si="1"/>
        <v>8.1442999999999994</v>
      </c>
      <c r="N22" s="585">
        <f t="shared" si="2"/>
        <v>2.1718000000000002</v>
      </c>
      <c r="O22" s="598"/>
      <c r="P22" s="585">
        <f t="shared" si="0"/>
        <v>4.5246000000000004</v>
      </c>
      <c r="Q22" s="604"/>
      <c r="R22" s="592">
        <f t="shared" ref="R22:R23" si="6">L22</f>
        <v>19.903300000000002</v>
      </c>
      <c r="S22" s="579">
        <f>ROUND(M22+N22+O22+P22+Q22+R22,4)</f>
        <v>34.744</v>
      </c>
      <c r="T22" s="586">
        <f t="shared" si="4"/>
        <v>30.2194</v>
      </c>
      <c r="V22" s="1780">
        <f t="shared" si="5"/>
        <v>126689.1778</v>
      </c>
      <c r="X22" s="1781">
        <v>126689.5778</v>
      </c>
    </row>
    <row r="23" spans="1:24" ht="35.1" customHeight="1" x14ac:dyDescent="0.25">
      <c r="A23" s="587" t="str">
        <f>'[1]Atualização de custos unitarios'!A18</f>
        <v>DNIT –</v>
      </c>
      <c r="B23" s="588" t="str">
        <f>'[1]Atualização de custos unitarios'!B18</f>
        <v>E9502</v>
      </c>
      <c r="C23" s="575" t="str">
        <f>'[1]Atualização de custos unitarios'!C18</f>
        <v>Bate-estaca de gravidade para 3,5 a 4,0 t - 119 Kw</v>
      </c>
      <c r="D23" s="590">
        <v>119</v>
      </c>
      <c r="E23" s="590">
        <v>7</v>
      </c>
      <c r="F23" s="591">
        <v>2000</v>
      </c>
      <c r="G23" s="592">
        <v>961473.59459999995</v>
      </c>
      <c r="H23" s="605">
        <v>0.2</v>
      </c>
      <c r="I23" s="595" t="s">
        <v>277</v>
      </c>
      <c r="J23" s="595">
        <v>0.6</v>
      </c>
      <c r="K23" s="609" t="str">
        <f>CONCATENATE('[1]Atualização de custos unitarios'!B88," - ",'[1]Atualização de custos unitarios'!C88)</f>
        <v>P9845 - Operador de equipamento pesado</v>
      </c>
      <c r="L23" s="610">
        <f>'[1]Atualização de custos unitarios'!E88</f>
        <v>26.764600000000002</v>
      </c>
      <c r="M23" s="584">
        <f t="shared" si="1"/>
        <v>54.941299999999998</v>
      </c>
      <c r="N23" s="585">
        <f t="shared" si="2"/>
        <v>16.482399999999998</v>
      </c>
      <c r="O23" s="598"/>
      <c r="P23" s="585">
        <f t="shared" si="0"/>
        <v>41.206000000000003</v>
      </c>
      <c r="Q23" s="585">
        <f>ROUND(0.18*D23*$D$12,4)</f>
        <v>69.257300000000001</v>
      </c>
      <c r="R23" s="592">
        <f t="shared" si="6"/>
        <v>26.764600000000002</v>
      </c>
      <c r="S23" s="579">
        <f t="shared" si="3"/>
        <v>208.6516</v>
      </c>
      <c r="T23" s="586">
        <f t="shared" si="4"/>
        <v>98.188299999999998</v>
      </c>
      <c r="V23" s="1780">
        <f t="shared" si="5"/>
        <v>961473.59459999995</v>
      </c>
      <c r="X23" s="1781">
        <v>961473.99459999998</v>
      </c>
    </row>
    <row r="24" spans="1:24" ht="35.1" customHeight="1" x14ac:dyDescent="0.25">
      <c r="A24" s="587" t="str">
        <f>'[1]Atualização de custos unitarios'!A19</f>
        <v>DNIT –</v>
      </c>
      <c r="B24" s="588" t="str">
        <f>'[1]Atualização de custos unitarios'!B19</f>
        <v>E9507</v>
      </c>
      <c r="C24" s="575" t="str">
        <f>'[1]Atualização de custos unitarios'!C19</f>
        <v>Computador, plotter de recorte e software</v>
      </c>
      <c r="D24" s="590">
        <v>1</v>
      </c>
      <c r="E24" s="599">
        <v>3</v>
      </c>
      <c r="F24" s="600">
        <v>2000</v>
      </c>
      <c r="G24" s="601">
        <v>36457.566399999996</v>
      </c>
      <c r="H24" s="605">
        <v>0.1</v>
      </c>
      <c r="I24" s="595" t="s">
        <v>106</v>
      </c>
      <c r="J24" s="595">
        <v>0.6</v>
      </c>
      <c r="K24" s="582"/>
      <c r="L24" s="583"/>
      <c r="M24" s="584">
        <f t="shared" si="1"/>
        <v>5.4686000000000003</v>
      </c>
      <c r="N24" s="585">
        <f t="shared" si="2"/>
        <v>0.72919999999999996</v>
      </c>
      <c r="O24" s="598"/>
      <c r="P24" s="585">
        <f t="shared" si="0"/>
        <v>3.6457999999999999</v>
      </c>
      <c r="Q24" s="611"/>
      <c r="R24" s="583"/>
      <c r="S24" s="579">
        <f t="shared" si="3"/>
        <v>9.8436000000000003</v>
      </c>
      <c r="T24" s="586">
        <f t="shared" si="4"/>
        <v>6.1978</v>
      </c>
      <c r="V24" s="1780">
        <f t="shared" si="5"/>
        <v>36457.566399999996</v>
      </c>
      <c r="X24" s="1781">
        <v>36457.966399999998</v>
      </c>
    </row>
    <row r="25" spans="1:24" ht="35.1" customHeight="1" x14ac:dyDescent="0.25">
      <c r="A25" s="1579" t="str">
        <f>'[1]Atualização de custos unitarios'!A20</f>
        <v>DNIT –</v>
      </c>
      <c r="B25" s="612" t="str">
        <f>'[1]Atualização de custos unitarios'!B20</f>
        <v>E9508</v>
      </c>
      <c r="C25" s="575" t="str">
        <f>'[1]Atualização de custos unitarios'!C20</f>
        <v>Caminhão carroceria com capacidade de 9 t - 136 kW (Atego 1419 - Mercedes-Benz)</v>
      </c>
      <c r="D25" s="613"/>
      <c r="E25" s="614"/>
      <c r="F25" s="614"/>
      <c r="G25" s="615"/>
      <c r="H25" s="616"/>
      <c r="I25" s="617"/>
      <c r="J25" s="617"/>
      <c r="K25" s="618"/>
      <c r="L25" s="619"/>
      <c r="M25" s="615"/>
      <c r="N25" s="615"/>
      <c r="O25" s="620"/>
      <c r="P25" s="615"/>
      <c r="Q25" s="619"/>
      <c r="R25" s="608"/>
      <c r="S25" s="586">
        <f>ROUND(S26+S27,4)</f>
        <v>159.31229999999999</v>
      </c>
      <c r="T25" s="586">
        <f>ROUND(T26+T27,4)</f>
        <v>52.926499999999997</v>
      </c>
      <c r="V25" s="1780"/>
      <c r="X25" s="1781">
        <v>159.31229999999999</v>
      </c>
    </row>
    <row r="26" spans="1:24" ht="35.1" customHeight="1" x14ac:dyDescent="0.25">
      <c r="A26" s="1579"/>
      <c r="B26" s="612" t="str">
        <f>'[1]Atualização de custos unitarios'!B21</f>
        <v>A9309</v>
      </c>
      <c r="C26" s="575" t="str">
        <f>'[1]Atualização de custos unitarios'!C21</f>
        <v>Caminhão plataforma 4 x 2, PBT 17.100 kg e distância entre eixos 4,8 m - 136 kW - Motorista de caminhão</v>
      </c>
      <c r="D26" s="599">
        <v>136</v>
      </c>
      <c r="E26" s="599">
        <v>7</v>
      </c>
      <c r="F26" s="600">
        <v>2000</v>
      </c>
      <c r="G26" s="601">
        <v>402509.65359999996</v>
      </c>
      <c r="H26" s="602">
        <v>0.4</v>
      </c>
      <c r="I26" s="603" t="s">
        <v>277</v>
      </c>
      <c r="J26" s="603">
        <v>0.9</v>
      </c>
      <c r="K26" s="609" t="str">
        <f>CONCATENATE('[1]Atualização de custos unitarios'!B91," - ",'[1]Atualização de custos unitarios'!C91)</f>
        <v>P9866 - Motorista de caminhão</v>
      </c>
      <c r="L26" s="610">
        <f>'[1]Atualização de custos unitarios'!E91</f>
        <v>24.1953</v>
      </c>
      <c r="M26" s="584">
        <f>ROUND((G26*(1-H26))/(E26*F26),4)</f>
        <v>17.250399999999999</v>
      </c>
      <c r="N26" s="585">
        <f t="shared" ref="N26:N45" si="7">ROUND((G26*(E26+1)*$J$13)/(2*E26*F26),4)</f>
        <v>6.9001999999999999</v>
      </c>
      <c r="O26" s="621">
        <f>ROUND(((E26+1)*(G26*$D$13))/(2*E26*F26),4)</f>
        <v>2.8751000000000002</v>
      </c>
      <c r="P26" s="585">
        <f t="shared" ref="P26:P45" si="8">ROUND((G26*J26)/(E26*F26),4)</f>
        <v>25.875599999999999</v>
      </c>
      <c r="Q26" s="585">
        <f>ROUND(0.18*D26*$D$12,4)</f>
        <v>79.151200000000003</v>
      </c>
      <c r="R26" s="601">
        <f>L26</f>
        <v>24.1953</v>
      </c>
      <c r="S26" s="579">
        <f>ROUND(M26+N26+O26+P26+Q26+R26,4)</f>
        <v>156.24780000000001</v>
      </c>
      <c r="T26" s="586">
        <f t="shared" ref="T26:T45" si="9">ROUND(M26+N26+O26+R26,4)</f>
        <v>51.220999999999997</v>
      </c>
      <c r="V26" s="1780">
        <f>X26-$V$15</f>
        <v>402509.65359999996</v>
      </c>
      <c r="X26" s="1781">
        <v>402510.05359999998</v>
      </c>
    </row>
    <row r="27" spans="1:24" ht="35.1" customHeight="1" x14ac:dyDescent="0.25">
      <c r="A27" s="1579"/>
      <c r="B27" s="612" t="str">
        <f>'[1]Atualização de custos unitarios'!B22</f>
        <v>A9350</v>
      </c>
      <c r="C27" s="575" t="str">
        <f>'[1]Atualização de custos unitarios'!C22</f>
        <v>Carroceria de madeira com capacidade de 9 t</v>
      </c>
      <c r="D27" s="606"/>
      <c r="E27" s="599">
        <v>5.8</v>
      </c>
      <c r="F27" s="600">
        <v>2000</v>
      </c>
      <c r="G27" s="601">
        <v>19705.089599999999</v>
      </c>
      <c r="H27" s="602">
        <v>0.2</v>
      </c>
      <c r="I27" s="606"/>
      <c r="J27" s="603">
        <v>0.8</v>
      </c>
      <c r="K27" s="607"/>
      <c r="L27" s="608"/>
      <c r="M27" s="584">
        <f t="shared" ref="M26:M45" si="10">ROUND((G27*(1-H27))/(E27*F27),4)</f>
        <v>1.359</v>
      </c>
      <c r="N27" s="585">
        <f t="shared" si="7"/>
        <v>0.34649999999999997</v>
      </c>
      <c r="O27" s="604"/>
      <c r="P27" s="585">
        <f t="shared" si="8"/>
        <v>1.359</v>
      </c>
      <c r="Q27" s="593"/>
      <c r="R27" s="594"/>
      <c r="S27" s="579">
        <f t="shared" ref="S26:S45" si="11">ROUND(M27+N27+O27+P27+Q27+R27,4)</f>
        <v>3.0644999999999998</v>
      </c>
      <c r="T27" s="586">
        <f t="shared" si="9"/>
        <v>1.7055</v>
      </c>
      <c r="V27" s="1780">
        <f t="shared" si="5"/>
        <v>19705.089599999999</v>
      </c>
      <c r="X27" s="1781">
        <v>19705.489600000001</v>
      </c>
    </row>
    <row r="28" spans="1:24" ht="35.1" customHeight="1" x14ac:dyDescent="0.25">
      <c r="A28" s="587" t="str">
        <f>'[1]Atualização de custos unitarios'!A23</f>
        <v>DNIT –</v>
      </c>
      <c r="B28" s="588" t="str">
        <f>'[1]Atualização de custos unitarios'!B23</f>
        <v>E9511</v>
      </c>
      <c r="C28" s="575" t="str">
        <f>'[1]Atualização de custos unitarios'!C23</f>
        <v>Carregadeira de pneus com capacidade de 3,30 m³ - 213 kW (950H - Caterpillar)</v>
      </c>
      <c r="D28" s="590">
        <v>213</v>
      </c>
      <c r="E28" s="590">
        <v>5</v>
      </c>
      <c r="F28" s="591">
        <v>2000</v>
      </c>
      <c r="G28" s="592">
        <v>1035915.5109999999</v>
      </c>
      <c r="H28" s="605">
        <v>0.3</v>
      </c>
      <c r="I28" s="595" t="s">
        <v>277</v>
      </c>
      <c r="J28" s="595">
        <v>0.7</v>
      </c>
      <c r="K28" s="609" t="str">
        <f>CONCATENATE('[1]Atualização de custos unitarios'!B88," - ",'[1]Atualização de custos unitarios'!C88)</f>
        <v>P9845 - Operador de equipamento pesado</v>
      </c>
      <c r="L28" s="610">
        <f>'[1]Atualização de custos unitarios'!E88</f>
        <v>26.764600000000002</v>
      </c>
      <c r="M28" s="584">
        <f t="shared" si="10"/>
        <v>72.514099999999999</v>
      </c>
      <c r="N28" s="585">
        <f t="shared" si="7"/>
        <v>18.6465</v>
      </c>
      <c r="O28" s="598"/>
      <c r="P28" s="585">
        <f t="shared" si="8"/>
        <v>72.514099999999999</v>
      </c>
      <c r="Q28" s="585">
        <f t="shared" ref="Q28:Q30" si="12">ROUND(0.18*D28*$D$12,4)</f>
        <v>123.96469999999999</v>
      </c>
      <c r="R28" s="601">
        <f t="shared" ref="R28:R29" si="13">L28</f>
        <v>26.764600000000002</v>
      </c>
      <c r="S28" s="579">
        <f t="shared" si="11"/>
        <v>314.404</v>
      </c>
      <c r="T28" s="586">
        <f t="shared" si="9"/>
        <v>117.9252</v>
      </c>
      <c r="V28" s="1780">
        <f t="shared" si="5"/>
        <v>1035915.5109999999</v>
      </c>
      <c r="X28" s="1781">
        <v>1035915.911</v>
      </c>
    </row>
    <row r="29" spans="1:24" ht="35.1" customHeight="1" x14ac:dyDescent="0.25">
      <c r="A29" s="587" t="str">
        <f>'[1]Atualização de custos unitarios'!A24</f>
        <v>DNIT –</v>
      </c>
      <c r="B29" s="588" t="str">
        <f>'[1]Atualização de custos unitarios'!B24</f>
        <v>E9515</v>
      </c>
      <c r="C29" s="575" t="str">
        <f>'[1]Atualização de custos unitarios'!C24</f>
        <v>Escavadeira hidráulica sobre esteira com caçamba com capacidade de 1,50 m³ - 110 kW (323 DL-Caterpillar)</v>
      </c>
      <c r="D29" s="599">
        <v>110</v>
      </c>
      <c r="E29" s="599">
        <v>5</v>
      </c>
      <c r="F29" s="600">
        <v>2000</v>
      </c>
      <c r="G29" s="601">
        <v>760469.89169999992</v>
      </c>
      <c r="H29" s="602">
        <v>0.3</v>
      </c>
      <c r="I29" s="603" t="s">
        <v>277</v>
      </c>
      <c r="J29" s="603">
        <v>0.7</v>
      </c>
      <c r="K29" s="609" t="str">
        <f>CONCATENATE('[1]Atualização de custos unitarios'!B88," - ",'[1]Atualização de custos unitarios'!C88)</f>
        <v>P9845 - Operador de equipamento pesado</v>
      </c>
      <c r="L29" s="610">
        <f>'[1]Atualização de custos unitarios'!E88</f>
        <v>26.764600000000002</v>
      </c>
      <c r="M29" s="584">
        <f t="shared" si="10"/>
        <v>53.232900000000001</v>
      </c>
      <c r="N29" s="585">
        <f t="shared" si="7"/>
        <v>13.688499999999999</v>
      </c>
      <c r="O29" s="598"/>
      <c r="P29" s="585">
        <f t="shared" si="8"/>
        <v>53.232900000000001</v>
      </c>
      <c r="Q29" s="585">
        <f t="shared" si="12"/>
        <v>64.019300000000001</v>
      </c>
      <c r="R29" s="601">
        <f t="shared" si="13"/>
        <v>26.764600000000002</v>
      </c>
      <c r="S29" s="579">
        <f t="shared" si="11"/>
        <v>210.93819999999999</v>
      </c>
      <c r="T29" s="586">
        <f t="shared" si="9"/>
        <v>93.686000000000007</v>
      </c>
      <c r="V29" s="1780">
        <f t="shared" si="5"/>
        <v>760469.89169999992</v>
      </c>
      <c r="X29" s="1781">
        <v>760470.29169999994</v>
      </c>
    </row>
    <row r="30" spans="1:24" ht="35.1" customHeight="1" x14ac:dyDescent="0.25">
      <c r="A30" s="587" t="str">
        <f>'[1]Atualização de custos unitarios'!A25</f>
        <v>DNIT –</v>
      </c>
      <c r="B30" s="588" t="str">
        <f>'[1]Atualização de custos unitarios'!B25</f>
        <v>E9517</v>
      </c>
      <c r="C30" s="575" t="str">
        <f>'[1]Atualização de custos unitarios'!C25</f>
        <v>Compressor de ar portátil de 912 PCM - 184 kW (XAS 430CUd - Atlas Copco)</v>
      </c>
      <c r="D30" s="599">
        <v>184</v>
      </c>
      <c r="E30" s="599">
        <v>6</v>
      </c>
      <c r="F30" s="600">
        <v>2000</v>
      </c>
      <c r="G30" s="601">
        <v>404955.20979999995</v>
      </c>
      <c r="H30" s="602">
        <v>0.2</v>
      </c>
      <c r="I30" s="603" t="s">
        <v>277</v>
      </c>
      <c r="J30" s="603">
        <v>0.8</v>
      </c>
      <c r="K30" s="582"/>
      <c r="L30" s="583"/>
      <c r="M30" s="584">
        <f t="shared" si="10"/>
        <v>26.997</v>
      </c>
      <c r="N30" s="585">
        <f t="shared" si="7"/>
        <v>7.0867000000000004</v>
      </c>
      <c r="O30" s="604"/>
      <c r="P30" s="585">
        <f t="shared" si="8"/>
        <v>26.997</v>
      </c>
      <c r="Q30" s="585">
        <f t="shared" si="12"/>
        <v>107.0869</v>
      </c>
      <c r="R30" s="576"/>
      <c r="S30" s="579">
        <f t="shared" si="11"/>
        <v>168.16759999999999</v>
      </c>
      <c r="T30" s="586">
        <f t="shared" si="9"/>
        <v>34.0837</v>
      </c>
      <c r="V30" s="1780">
        <f t="shared" si="5"/>
        <v>404955.20979999995</v>
      </c>
      <c r="X30" s="1781">
        <v>404955.60979999998</v>
      </c>
    </row>
    <row r="31" spans="1:24" ht="35.1" customHeight="1" x14ac:dyDescent="0.25">
      <c r="A31" s="587" t="str">
        <f>'[1]Atualização de custos unitarios'!A26</f>
        <v>DNIT –</v>
      </c>
      <c r="B31" s="588" t="str">
        <f>'[1]Atualização de custos unitarios'!B26</f>
        <v>E9518</v>
      </c>
      <c r="C31" s="575" t="str">
        <f>'[1]Atualização de custos unitarios'!C26</f>
        <v>Grade de 24 discos rebocável de 24" (GAM 24 x 24" - Marchesan)</v>
      </c>
      <c r="D31" s="606"/>
      <c r="E31" s="599">
        <v>7</v>
      </c>
      <c r="F31" s="600">
        <v>2000</v>
      </c>
      <c r="G31" s="601">
        <v>24069.382299999997</v>
      </c>
      <c r="H31" s="602">
        <v>0.1</v>
      </c>
      <c r="I31" s="606"/>
      <c r="J31" s="603">
        <v>0.5</v>
      </c>
      <c r="K31" s="607"/>
      <c r="L31" s="608"/>
      <c r="M31" s="584">
        <f t="shared" si="10"/>
        <v>1.5472999999999999</v>
      </c>
      <c r="N31" s="585">
        <f t="shared" si="7"/>
        <v>0.41260000000000002</v>
      </c>
      <c r="O31" s="604"/>
      <c r="P31" s="585">
        <f t="shared" si="8"/>
        <v>0.85960000000000003</v>
      </c>
      <c r="Q31" s="607"/>
      <c r="R31" s="608"/>
      <c r="S31" s="579">
        <f t="shared" si="11"/>
        <v>2.8195000000000001</v>
      </c>
      <c r="T31" s="586">
        <f t="shared" si="9"/>
        <v>1.9599</v>
      </c>
      <c r="V31" s="1780">
        <f t="shared" si="5"/>
        <v>24069.382299999997</v>
      </c>
      <c r="X31" s="1781">
        <v>24069.782299999999</v>
      </c>
    </row>
    <row r="32" spans="1:24" ht="35.1" customHeight="1" x14ac:dyDescent="0.25">
      <c r="A32" s="587" t="str">
        <f>'[1]Atualização de custos unitarios'!A27</f>
        <v>DNIT –</v>
      </c>
      <c r="B32" s="588" t="str">
        <f>'[1]Atualização de custos unitarios'!B27</f>
        <v>E9519</v>
      </c>
      <c r="C32" s="575" t="str">
        <f>'[1]Atualização de custos unitarios'!C27</f>
        <v>Betoneira com motor a gasolina e capacidade de 600 l - 10 kW (Menegotti)</v>
      </c>
      <c r="D32" s="590">
        <v>10</v>
      </c>
      <c r="E32" s="590">
        <v>5</v>
      </c>
      <c r="F32" s="591">
        <v>2000</v>
      </c>
      <c r="G32" s="592">
        <v>20993.980599999999</v>
      </c>
      <c r="H32" s="605">
        <v>0.2</v>
      </c>
      <c r="I32" s="595" t="s">
        <v>278</v>
      </c>
      <c r="J32" s="595">
        <v>0.6</v>
      </c>
      <c r="K32" s="609" t="str">
        <f>CONCATENATE('[1]Atualização de custos unitarios'!B87," - ",'[1]Atualização de custos unitarios'!C87)</f>
        <v>P9843 - Operador de equipamento leve</v>
      </c>
      <c r="L32" s="610">
        <f>'[1]Atualização de custos unitarios'!E87</f>
        <v>19.903300000000002</v>
      </c>
      <c r="M32" s="584">
        <f t="shared" si="10"/>
        <v>1.6795</v>
      </c>
      <c r="N32" s="585">
        <f t="shared" si="7"/>
        <v>0.37790000000000001</v>
      </c>
      <c r="O32" s="598"/>
      <c r="P32" s="585">
        <f t="shared" si="8"/>
        <v>1.2596000000000001</v>
      </c>
      <c r="Q32" s="592">
        <f t="shared" ref="Q32:Q33" si="14">ROUND(0.2*D32*$H$12,4)</f>
        <v>8.1183999999999994</v>
      </c>
      <c r="R32" s="601">
        <f>L32</f>
        <v>19.903300000000002</v>
      </c>
      <c r="S32" s="579">
        <f t="shared" si="11"/>
        <v>31.338699999999999</v>
      </c>
      <c r="T32" s="586">
        <f t="shared" si="9"/>
        <v>21.960699999999999</v>
      </c>
      <c r="V32" s="1780">
        <f t="shared" si="5"/>
        <v>20993.980599999999</v>
      </c>
      <c r="X32" s="1781">
        <v>20994.3806</v>
      </c>
    </row>
    <row r="33" spans="1:24" ht="35.1" customHeight="1" x14ac:dyDescent="0.25">
      <c r="A33" s="587" t="str">
        <f>'[1]Atualização de custos unitarios'!A28</f>
        <v>DNIT –</v>
      </c>
      <c r="B33" s="588" t="str">
        <f>'[1]Atualização de custos unitarios'!B28</f>
        <v>E9521</v>
      </c>
      <c r="C33" s="575" t="str">
        <f>'[1]Atualização de custos unitarios'!C28</f>
        <v>Grupo gerador - 2,5/3 kVA (X 3000 - Pramac)</v>
      </c>
      <c r="D33" s="622">
        <v>2.4</v>
      </c>
      <c r="E33" s="622">
        <v>7</v>
      </c>
      <c r="F33" s="623">
        <v>2000</v>
      </c>
      <c r="G33" s="624">
        <v>2321.2660000000001</v>
      </c>
      <c r="H33" s="625">
        <v>0.3</v>
      </c>
      <c r="I33" s="626" t="s">
        <v>278</v>
      </c>
      <c r="J33" s="626">
        <v>0.5</v>
      </c>
      <c r="K33" s="593"/>
      <c r="L33" s="594"/>
      <c r="M33" s="584">
        <f t="shared" si="10"/>
        <v>0.11609999999999999</v>
      </c>
      <c r="N33" s="585">
        <f t="shared" si="7"/>
        <v>3.9800000000000002E-2</v>
      </c>
      <c r="O33" s="604"/>
      <c r="P33" s="585">
        <f t="shared" si="8"/>
        <v>8.2900000000000001E-2</v>
      </c>
      <c r="Q33" s="592">
        <f t="shared" si="14"/>
        <v>1.9483999999999999</v>
      </c>
      <c r="R33" s="604"/>
      <c r="S33" s="579">
        <f t="shared" si="11"/>
        <v>2.1871999999999998</v>
      </c>
      <c r="T33" s="586">
        <f t="shared" si="9"/>
        <v>0.15590000000000001</v>
      </c>
      <c r="V33" s="1780">
        <f t="shared" si="5"/>
        <v>2321.2660000000001</v>
      </c>
      <c r="X33" s="1781">
        <v>2321.6660000000002</v>
      </c>
    </row>
    <row r="34" spans="1:24" ht="35.1" customHeight="1" x14ac:dyDescent="0.25">
      <c r="A34" s="587" t="str">
        <f>'[1]Atualização de custos unitarios'!A29</f>
        <v>DNIT –</v>
      </c>
      <c r="B34" s="588" t="str">
        <f>'[1]Atualização de custos unitarios'!B29</f>
        <v>E9524</v>
      </c>
      <c r="C34" s="575" t="str">
        <f>'[1]Atualização de custos unitarios'!C29</f>
        <v>Motoniveladora - 93 kW (120K - Caterpillar)</v>
      </c>
      <c r="D34" s="590">
        <v>93</v>
      </c>
      <c r="E34" s="590">
        <v>7</v>
      </c>
      <c r="F34" s="591">
        <v>2000</v>
      </c>
      <c r="G34" s="592">
        <v>786583.00879999995</v>
      </c>
      <c r="H34" s="605">
        <v>0.3</v>
      </c>
      <c r="I34" s="595" t="s">
        <v>277</v>
      </c>
      <c r="J34" s="595">
        <v>0.9</v>
      </c>
      <c r="K34" s="627" t="str">
        <f>CONCATENATE('[1]Atualização de custos unitarios'!B88," - ",'[1]Atualização de custos unitarios'!C88)</f>
        <v>P9845 - Operador de equipamento pesado</v>
      </c>
      <c r="L34" s="628">
        <f>'[1]Atualização de custos unitarios'!E88</f>
        <v>26.764600000000002</v>
      </c>
      <c r="M34" s="584">
        <f t="shared" si="10"/>
        <v>39.3292</v>
      </c>
      <c r="N34" s="585">
        <f t="shared" si="7"/>
        <v>13.484299999999999</v>
      </c>
      <c r="O34" s="598"/>
      <c r="P34" s="585">
        <f t="shared" si="8"/>
        <v>50.566099999999999</v>
      </c>
      <c r="Q34" s="585">
        <f t="shared" ref="Q34:Q35" si="15">ROUND(0.18*D34*$D$12,4)</f>
        <v>54.125399999999999</v>
      </c>
      <c r="R34" s="601">
        <f t="shared" ref="R34:R43" si="16">L34</f>
        <v>26.764600000000002</v>
      </c>
      <c r="S34" s="579">
        <f t="shared" si="11"/>
        <v>184.2696</v>
      </c>
      <c r="T34" s="629">
        <f t="shared" si="9"/>
        <v>79.578100000000006</v>
      </c>
      <c r="V34" s="1780">
        <f t="shared" si="5"/>
        <v>786583.00879999995</v>
      </c>
      <c r="X34" s="1781">
        <v>786583.40879999998</v>
      </c>
    </row>
    <row r="35" spans="1:24" ht="35.1" customHeight="1" x14ac:dyDescent="0.25">
      <c r="A35" s="587" t="str">
        <f>'[1]Atualização de custos unitarios'!A30</f>
        <v>DNIT –</v>
      </c>
      <c r="B35" s="630" t="str">
        <f>'[1]Atualização de custos unitarios'!B30</f>
        <v>E9526</v>
      </c>
      <c r="C35" s="575" t="str">
        <f>'[1]Atualização de custos unitarios'!C30</f>
        <v>Retroescavadeira de pneus - 58 kW (416E - Caterpillar)</v>
      </c>
      <c r="D35" s="599">
        <v>58</v>
      </c>
      <c r="E35" s="599">
        <v>5</v>
      </c>
      <c r="F35" s="600">
        <v>2000</v>
      </c>
      <c r="G35" s="601">
        <v>285427.71959999995</v>
      </c>
      <c r="H35" s="602">
        <v>0.3</v>
      </c>
      <c r="I35" s="603" t="s">
        <v>277</v>
      </c>
      <c r="J35" s="603">
        <v>0.7</v>
      </c>
      <c r="K35" s="627" t="str">
        <f>CONCATENATE('[1]Atualização de custos unitarios'!B88," - ",'[1]Atualização de custos unitarios'!C88)</f>
        <v>P9845 - Operador de equipamento pesado</v>
      </c>
      <c r="L35" s="628">
        <f>'[1]Atualização de custos unitarios'!E88</f>
        <v>26.764600000000002</v>
      </c>
      <c r="M35" s="584">
        <f t="shared" si="10"/>
        <v>19.979900000000001</v>
      </c>
      <c r="N35" s="585">
        <f t="shared" si="7"/>
        <v>5.1376999999999997</v>
      </c>
      <c r="O35" s="598"/>
      <c r="P35" s="585">
        <f t="shared" si="8"/>
        <v>19.979900000000001</v>
      </c>
      <c r="Q35" s="585">
        <f t="shared" si="15"/>
        <v>33.755699999999997</v>
      </c>
      <c r="R35" s="601">
        <f t="shared" si="16"/>
        <v>26.764600000000002</v>
      </c>
      <c r="S35" s="579">
        <f t="shared" si="11"/>
        <v>105.6178</v>
      </c>
      <c r="T35" s="629">
        <f t="shared" si="9"/>
        <v>51.882199999999997</v>
      </c>
      <c r="V35" s="1780">
        <f t="shared" si="5"/>
        <v>285427.71959999995</v>
      </c>
      <c r="X35" s="1781">
        <v>285428.11959999998</v>
      </c>
    </row>
    <row r="36" spans="1:24" ht="35.1" customHeight="1" x14ac:dyDescent="0.25">
      <c r="A36" s="587" t="str">
        <f>'[1]Atualização de custos unitarios'!A31</f>
        <v>DNIT –</v>
      </c>
      <c r="B36" s="588" t="str">
        <f>'[1]Atualização de custos unitarios'!B31</f>
        <v>E9527</v>
      </c>
      <c r="C36" s="631" t="str">
        <f>'[1]Atualização de custos unitarios'!C31</f>
        <v>Martelete perfurador/rompedor a ar comprimido de 25 kg (RH 658LS - Atlas Copco)</v>
      </c>
      <c r="D36" s="606"/>
      <c r="E36" s="622">
        <v>5</v>
      </c>
      <c r="F36" s="623">
        <v>2000</v>
      </c>
      <c r="G36" s="624">
        <v>16858.095599999997</v>
      </c>
      <c r="H36" s="625">
        <v>0.2</v>
      </c>
      <c r="I36" s="606"/>
      <c r="J36" s="632">
        <v>0.8</v>
      </c>
      <c r="K36" s="627" t="str">
        <f>CONCATENATE('[1]Atualização de custos unitarios'!B87," - ",'[1]Atualização de custos unitarios'!C87)</f>
        <v>P9843 - Operador de equipamento leve</v>
      </c>
      <c r="L36" s="628">
        <f>'[1]Atualização de custos unitarios'!E87</f>
        <v>19.903300000000002</v>
      </c>
      <c r="M36" s="584">
        <f t="shared" si="10"/>
        <v>1.3486</v>
      </c>
      <c r="N36" s="585">
        <f t="shared" si="7"/>
        <v>0.3034</v>
      </c>
      <c r="O36" s="604"/>
      <c r="P36" s="585">
        <f t="shared" si="8"/>
        <v>1.3486</v>
      </c>
      <c r="Q36" s="606"/>
      <c r="R36" s="624">
        <f t="shared" si="16"/>
        <v>19.903300000000002</v>
      </c>
      <c r="S36" s="579">
        <f t="shared" si="11"/>
        <v>22.9039</v>
      </c>
      <c r="T36" s="629">
        <f t="shared" si="9"/>
        <v>21.555299999999999</v>
      </c>
      <c r="V36" s="1780">
        <f t="shared" si="5"/>
        <v>16858.095599999997</v>
      </c>
      <c r="X36" s="1781">
        <v>16858.495599999998</v>
      </c>
    </row>
    <row r="37" spans="1:24" ht="35.1" customHeight="1" x14ac:dyDescent="0.25">
      <c r="A37" s="587" t="str">
        <f>'[1]Atualização de custos unitarios'!A32</f>
        <v>DNIT –</v>
      </c>
      <c r="B37" s="630" t="str">
        <f>'[1]Atualização de custos unitarios'!B32</f>
        <v>E9530</v>
      </c>
      <c r="C37" s="575" t="str">
        <f>'[1]Atualização de custos unitarios'!C32</f>
        <v>Rolo compactador liso autopropelido vibratório de 11 t - 97 kW</v>
      </c>
      <c r="D37" s="599">
        <v>97</v>
      </c>
      <c r="E37" s="599">
        <v>6</v>
      </c>
      <c r="F37" s="600">
        <v>2000</v>
      </c>
      <c r="G37" s="601">
        <v>429079.25539999997</v>
      </c>
      <c r="H37" s="602">
        <v>0.2</v>
      </c>
      <c r="I37" s="603" t="s">
        <v>277</v>
      </c>
      <c r="J37" s="603">
        <v>0.8</v>
      </c>
      <c r="K37" s="609" t="str">
        <f>CONCATENATE('[1]Atualização de custos unitarios'!B88," - ",'[1]Atualização de custos unitarios'!C88)</f>
        <v>P9845 - Operador de equipamento pesado</v>
      </c>
      <c r="L37" s="610">
        <f>'[1]Atualização de custos unitarios'!E88</f>
        <v>26.764600000000002</v>
      </c>
      <c r="M37" s="584">
        <f t="shared" si="10"/>
        <v>28.6053</v>
      </c>
      <c r="N37" s="585">
        <f t="shared" si="7"/>
        <v>7.5088999999999997</v>
      </c>
      <c r="O37" s="576"/>
      <c r="P37" s="585">
        <f t="shared" si="8"/>
        <v>28.6053</v>
      </c>
      <c r="Q37" s="585">
        <f t="shared" ref="Q37:Q39" si="17">ROUND(0.18*D37*$D$12,4)</f>
        <v>56.453400000000002</v>
      </c>
      <c r="R37" s="601">
        <f t="shared" si="16"/>
        <v>26.764600000000002</v>
      </c>
      <c r="S37" s="579">
        <f t="shared" si="11"/>
        <v>147.9375</v>
      </c>
      <c r="T37" s="586">
        <f t="shared" si="9"/>
        <v>62.878799999999998</v>
      </c>
      <c r="V37" s="1780">
        <f t="shared" si="5"/>
        <v>429079.25539999997</v>
      </c>
      <c r="X37" s="1781">
        <v>429079.65539999999</v>
      </c>
    </row>
    <row r="38" spans="1:24" ht="35.1" customHeight="1" x14ac:dyDescent="0.25">
      <c r="A38" s="587" t="str">
        <f>'[1]Atualização de custos unitarios'!A33</f>
        <v>DNIT –</v>
      </c>
      <c r="B38" s="588" t="str">
        <f>'[1]Atualização de custos unitarios'!B33</f>
        <v>E9531</v>
      </c>
      <c r="C38" s="575" t="str">
        <f>'[1]Atualização de custos unitarios'!C33</f>
        <v>Equipamento de sondagem a percussão com motobomba - 2,5 kW</v>
      </c>
      <c r="D38" s="633">
        <v>2.5</v>
      </c>
      <c r="E38" s="633">
        <v>7</v>
      </c>
      <c r="F38" s="633">
        <v>2000</v>
      </c>
      <c r="G38" s="634">
        <v>25130.91</v>
      </c>
      <c r="H38" s="635">
        <v>0.2</v>
      </c>
      <c r="I38" s="636" t="s">
        <v>277</v>
      </c>
      <c r="J38" s="636">
        <v>0.6</v>
      </c>
      <c r="K38" s="627" t="str">
        <f>CONCATENATE('[1]Atualização de custos unitarios'!B87," - ",'[1]Atualização de custos unitarios'!C87)</f>
        <v>P9843 - Operador de equipamento leve</v>
      </c>
      <c r="L38" s="628">
        <f>'[1]Atualização de custos unitarios'!E87</f>
        <v>19.903300000000002</v>
      </c>
      <c r="M38" s="584">
        <f t="shared" si="10"/>
        <v>1.4360999999999999</v>
      </c>
      <c r="N38" s="585">
        <f t="shared" si="7"/>
        <v>0.43080000000000002</v>
      </c>
      <c r="O38" s="604"/>
      <c r="P38" s="585">
        <f t="shared" si="8"/>
        <v>1.077</v>
      </c>
      <c r="Q38" s="585">
        <f t="shared" si="17"/>
        <v>1.4550000000000001</v>
      </c>
      <c r="R38" s="637">
        <f t="shared" si="16"/>
        <v>19.903300000000002</v>
      </c>
      <c r="S38" s="579">
        <f t="shared" si="11"/>
        <v>24.302199999999999</v>
      </c>
      <c r="T38" s="629">
        <f t="shared" si="9"/>
        <v>21.770199999999999</v>
      </c>
      <c r="V38" s="1780">
        <f t="shared" si="5"/>
        <v>25130.91</v>
      </c>
      <c r="X38" s="1781">
        <v>25131.31</v>
      </c>
    </row>
    <row r="39" spans="1:24" ht="35.1" customHeight="1" x14ac:dyDescent="0.25">
      <c r="A39" s="587" t="str">
        <f>'[1]Atualização de custos unitarios'!A34</f>
        <v>DNIT –</v>
      </c>
      <c r="B39" s="588" t="str">
        <f>'[1]Atualização de custos unitarios'!B34</f>
        <v>E9533</v>
      </c>
      <c r="C39" s="575" t="str">
        <f>'[1]Atualização de custos unitarios'!C34</f>
        <v>Sonda rotativa com motor, bombas, mastro e cabeçote - 20 kW</v>
      </c>
      <c r="D39" s="590">
        <v>20</v>
      </c>
      <c r="E39" s="590">
        <v>7</v>
      </c>
      <c r="F39" s="591">
        <v>2000</v>
      </c>
      <c r="G39" s="592">
        <v>153641.60769999999</v>
      </c>
      <c r="H39" s="605">
        <v>0.2</v>
      </c>
      <c r="I39" s="595" t="s">
        <v>277</v>
      </c>
      <c r="J39" s="636">
        <v>0.8</v>
      </c>
      <c r="K39" s="627" t="str">
        <f>CONCATENATE('[1]Atualização de custos unitarios'!B87," - ",'[1]Atualização de custos unitarios'!C87)</f>
        <v>P9843 - Operador de equipamento leve</v>
      </c>
      <c r="L39" s="628">
        <f>'[1]Atualização de custos unitarios'!E87</f>
        <v>19.903300000000002</v>
      </c>
      <c r="M39" s="584">
        <f t="shared" si="10"/>
        <v>8.7795000000000005</v>
      </c>
      <c r="N39" s="585">
        <f t="shared" si="7"/>
        <v>2.6339000000000001</v>
      </c>
      <c r="O39" s="598"/>
      <c r="P39" s="585">
        <f t="shared" si="8"/>
        <v>8.7795000000000005</v>
      </c>
      <c r="Q39" s="585">
        <f t="shared" si="17"/>
        <v>11.639900000000001</v>
      </c>
      <c r="R39" s="592">
        <f t="shared" si="16"/>
        <v>19.903300000000002</v>
      </c>
      <c r="S39" s="579">
        <f t="shared" si="11"/>
        <v>51.7361</v>
      </c>
      <c r="T39" s="629">
        <f t="shared" si="9"/>
        <v>31.316700000000001</v>
      </c>
      <c r="V39" s="1780">
        <f t="shared" si="5"/>
        <v>153641.60769999999</v>
      </c>
      <c r="X39" s="1781">
        <v>153642.00769999999</v>
      </c>
    </row>
    <row r="40" spans="1:24" ht="35.1" customHeight="1" x14ac:dyDescent="0.25">
      <c r="A40" s="587" t="str">
        <f>'[1]Atualização de custos unitarios'!A35</f>
        <v>DNIT –</v>
      </c>
      <c r="B40" s="588" t="str">
        <f>'[1]Atualização de custos unitarios'!B35</f>
        <v>E9535</v>
      </c>
      <c r="C40" s="575" t="str">
        <f>'[1]Atualização de custos unitarios'!C35</f>
        <v>Serra circular com bancada - D = 30 cm - 4 kW (SCCC - Maksiwa)</v>
      </c>
      <c r="D40" s="599">
        <v>4</v>
      </c>
      <c r="E40" s="599">
        <v>5</v>
      </c>
      <c r="F40" s="600">
        <v>2000</v>
      </c>
      <c r="G40" s="601">
        <v>5192.6589000000004</v>
      </c>
      <c r="H40" s="602">
        <v>0.1</v>
      </c>
      <c r="I40" s="603" t="s">
        <v>106</v>
      </c>
      <c r="J40" s="636">
        <v>0.5</v>
      </c>
      <c r="K40" s="627" t="str">
        <f>CONCATENATE('[1]Atualização de custos unitarios'!B87," - ",'[1]Atualização de custos unitarios'!C87)</f>
        <v>P9843 - Operador de equipamento leve</v>
      </c>
      <c r="L40" s="628">
        <f>'[1]Atualização de custos unitarios'!E87</f>
        <v>19.903300000000002</v>
      </c>
      <c r="M40" s="584">
        <f t="shared" si="10"/>
        <v>0.46729999999999999</v>
      </c>
      <c r="N40" s="585">
        <f t="shared" si="7"/>
        <v>9.35E-2</v>
      </c>
      <c r="O40" s="598"/>
      <c r="P40" s="585">
        <f t="shared" si="8"/>
        <v>0.2596</v>
      </c>
      <c r="Q40" s="606"/>
      <c r="R40" s="601">
        <f t="shared" si="16"/>
        <v>19.903300000000002</v>
      </c>
      <c r="S40" s="579">
        <f t="shared" si="11"/>
        <v>20.723700000000001</v>
      </c>
      <c r="T40" s="629">
        <f t="shared" si="9"/>
        <v>20.464099999999998</v>
      </c>
      <c r="V40" s="1780">
        <f t="shared" si="5"/>
        <v>5192.6589000000004</v>
      </c>
      <c r="X40" s="1781">
        <v>5193.0589</v>
      </c>
    </row>
    <row r="41" spans="1:24" ht="35.1" customHeight="1" x14ac:dyDescent="0.25">
      <c r="A41" s="587" t="str">
        <f>'[1]Atualização de custos unitarios'!A36</f>
        <v>DNIT –</v>
      </c>
      <c r="B41" s="588" t="str">
        <f>'[1]Atualização de custos unitarios'!B36</f>
        <v>E9537</v>
      </c>
      <c r="C41" s="575" t="str">
        <f>'[1]Atualização de custos unitarios'!C36</f>
        <v>Carregadeira de pneus com capacidade de 1,72 m³ - 113 kW (W20E - Case Construction)</v>
      </c>
      <c r="D41" s="599">
        <v>113</v>
      </c>
      <c r="E41" s="599">
        <v>5</v>
      </c>
      <c r="F41" s="600">
        <v>2000</v>
      </c>
      <c r="G41" s="601">
        <v>352021.03849999997</v>
      </c>
      <c r="H41" s="602">
        <v>0.3</v>
      </c>
      <c r="I41" s="603" t="s">
        <v>277</v>
      </c>
      <c r="J41" s="636">
        <v>0.7</v>
      </c>
      <c r="K41" s="627" t="str">
        <f>CONCATENATE('[1]Atualização de custos unitarios'!B88," - ",'[1]Atualização de custos unitarios'!C88)</f>
        <v>P9845 - Operador de equipamento pesado</v>
      </c>
      <c r="L41" s="628">
        <f>'[1]Atualização de custos unitarios'!E88</f>
        <v>26.764600000000002</v>
      </c>
      <c r="M41" s="584">
        <f t="shared" si="10"/>
        <v>24.641500000000001</v>
      </c>
      <c r="N41" s="585">
        <f t="shared" si="7"/>
        <v>6.3364000000000003</v>
      </c>
      <c r="O41" s="604"/>
      <c r="P41" s="585">
        <f t="shared" si="8"/>
        <v>24.641500000000001</v>
      </c>
      <c r="Q41" s="585">
        <f t="shared" ref="Q41:Q43" si="18">ROUND(0.18*D41*$D$12,4)</f>
        <v>65.765299999999996</v>
      </c>
      <c r="R41" s="601">
        <f t="shared" si="16"/>
        <v>26.764600000000002</v>
      </c>
      <c r="S41" s="579">
        <f t="shared" si="11"/>
        <v>148.14930000000001</v>
      </c>
      <c r="T41" s="629">
        <f t="shared" si="9"/>
        <v>57.7425</v>
      </c>
      <c r="V41" s="1780">
        <f t="shared" si="5"/>
        <v>352021.03849999997</v>
      </c>
      <c r="X41" s="1781">
        <v>352021.43849999999</v>
      </c>
    </row>
    <row r="42" spans="1:24" ht="35.1" customHeight="1" x14ac:dyDescent="0.25">
      <c r="A42" s="587" t="str">
        <f>'[1]Atualização de custos unitarios'!A37</f>
        <v>DNIT –</v>
      </c>
      <c r="B42" s="588" t="str">
        <f>'[1]Atualização de custos unitarios'!B37</f>
        <v>E9540</v>
      </c>
      <c r="C42" s="575" t="str">
        <f>'[1]Atualização de custos unitarios'!C37</f>
        <v>Trator de esteiras com lâmina - 112 kW (D6N - Caterpillar)</v>
      </c>
      <c r="D42" s="599">
        <v>112</v>
      </c>
      <c r="E42" s="599">
        <v>9</v>
      </c>
      <c r="F42" s="600">
        <v>2000</v>
      </c>
      <c r="G42" s="601">
        <v>966685.35979999998</v>
      </c>
      <c r="H42" s="602">
        <v>0.3</v>
      </c>
      <c r="I42" s="603" t="s">
        <v>277</v>
      </c>
      <c r="J42" s="603">
        <v>1</v>
      </c>
      <c r="K42" s="627" t="str">
        <f>CONCATENATE('[1]Atualização de custos unitarios'!B88," - ",'[1]Atualização de custos unitarios'!C88)</f>
        <v>P9845 - Operador de equipamento pesado</v>
      </c>
      <c r="L42" s="628">
        <f>'[1]Atualização de custos unitarios'!E88</f>
        <v>26.764600000000002</v>
      </c>
      <c r="M42" s="584">
        <f t="shared" si="10"/>
        <v>37.593299999999999</v>
      </c>
      <c r="N42" s="585">
        <f t="shared" si="7"/>
        <v>16.1114</v>
      </c>
      <c r="O42" s="604"/>
      <c r="P42" s="585">
        <f t="shared" si="8"/>
        <v>53.704700000000003</v>
      </c>
      <c r="Q42" s="585">
        <f t="shared" si="18"/>
        <v>65.183300000000003</v>
      </c>
      <c r="R42" s="601">
        <f t="shared" si="16"/>
        <v>26.764600000000002</v>
      </c>
      <c r="S42" s="579">
        <f t="shared" si="11"/>
        <v>199.35730000000001</v>
      </c>
      <c r="T42" s="629">
        <f t="shared" si="9"/>
        <v>80.469300000000004</v>
      </c>
      <c r="V42" s="1780">
        <f t="shared" si="5"/>
        <v>966685.35979999998</v>
      </c>
      <c r="X42" s="1781">
        <v>966685.7598</v>
      </c>
    </row>
    <row r="43" spans="1:24" ht="35.1" customHeight="1" x14ac:dyDescent="0.25">
      <c r="A43" s="587" t="str">
        <f>'[1]Atualização de custos unitarios'!A38</f>
        <v>DNIT –</v>
      </c>
      <c r="B43" s="588" t="str">
        <f>'[1]Atualização de custos unitarios'!B38</f>
        <v>E9541</v>
      </c>
      <c r="C43" s="575" t="str">
        <f>'[1]Atualização de custos unitarios'!C38</f>
        <v>Trator de esteiras com lâmina - 259 kW (D8T - Caterpillar)</v>
      </c>
      <c r="D43" s="599">
        <v>259</v>
      </c>
      <c r="E43" s="599">
        <v>9</v>
      </c>
      <c r="F43" s="600">
        <v>2000</v>
      </c>
      <c r="G43" s="601">
        <v>2552266.8969999999</v>
      </c>
      <c r="H43" s="602">
        <v>0.3</v>
      </c>
      <c r="I43" s="603" t="s">
        <v>277</v>
      </c>
      <c r="J43" s="638">
        <v>1</v>
      </c>
      <c r="K43" s="609" t="str">
        <f>CONCATENATE('[1]Atualização de custos unitarios'!B88," - ",'[1]Atualização de custos unitarios'!C88)</f>
        <v>P9845 - Operador de equipamento pesado</v>
      </c>
      <c r="L43" s="610">
        <f>'[1]Atualização de custos unitarios'!E88</f>
        <v>26.764600000000002</v>
      </c>
      <c r="M43" s="584">
        <f t="shared" si="10"/>
        <v>99.254800000000003</v>
      </c>
      <c r="N43" s="585">
        <f t="shared" si="7"/>
        <v>42.537799999999997</v>
      </c>
      <c r="O43" s="598"/>
      <c r="P43" s="585">
        <f t="shared" si="8"/>
        <v>141.79259999999999</v>
      </c>
      <c r="Q43" s="585">
        <f t="shared" si="18"/>
        <v>150.7364</v>
      </c>
      <c r="R43" s="601">
        <f t="shared" si="16"/>
        <v>26.764600000000002</v>
      </c>
      <c r="S43" s="579">
        <f t="shared" si="11"/>
        <v>461.08620000000002</v>
      </c>
      <c r="T43" s="586">
        <f t="shared" si="9"/>
        <v>168.55719999999999</v>
      </c>
      <c r="V43" s="1780">
        <f t="shared" si="5"/>
        <v>2552266.8969999999</v>
      </c>
      <c r="X43" s="1781">
        <v>2552267.2969999998</v>
      </c>
    </row>
    <row r="44" spans="1:24" ht="35.1" customHeight="1" x14ac:dyDescent="0.25">
      <c r="A44" s="587" t="str">
        <f>'[1]Atualização de custos unitarios'!A39</f>
        <v>DNIT –</v>
      </c>
      <c r="B44" s="588" t="str">
        <f>'[1]Atualização de custos unitarios'!B39</f>
        <v>E9547</v>
      </c>
      <c r="C44" s="575" t="str">
        <f>'[1]Atualização de custos unitarios'!C39</f>
        <v>Máquina para solda elétrica - 9,2 kW (Bantam 250 - Esab)</v>
      </c>
      <c r="D44" s="599">
        <v>9.1999999999999993</v>
      </c>
      <c r="E44" s="599">
        <v>5</v>
      </c>
      <c r="F44" s="600">
        <v>2000</v>
      </c>
      <c r="G44" s="601">
        <v>495.59200000000004</v>
      </c>
      <c r="H44" s="602">
        <v>0.2</v>
      </c>
      <c r="I44" s="603" t="s">
        <v>106</v>
      </c>
      <c r="J44" s="639">
        <v>0.8</v>
      </c>
      <c r="K44" s="582"/>
      <c r="L44" s="583"/>
      <c r="M44" s="584">
        <f t="shared" si="10"/>
        <v>3.9600000000000003E-2</v>
      </c>
      <c r="N44" s="585">
        <f t="shared" si="7"/>
        <v>8.8999999999999999E-3</v>
      </c>
      <c r="O44" s="598"/>
      <c r="P44" s="585">
        <f t="shared" si="8"/>
        <v>3.9600000000000003E-2</v>
      </c>
      <c r="Q44" s="611"/>
      <c r="R44" s="583"/>
      <c r="S44" s="579">
        <f t="shared" si="11"/>
        <v>8.8099999999999998E-2</v>
      </c>
      <c r="T44" s="586">
        <f t="shared" si="9"/>
        <v>4.8500000000000001E-2</v>
      </c>
      <c r="V44" s="1780">
        <f t="shared" si="5"/>
        <v>495.59200000000004</v>
      </c>
      <c r="X44" s="1781">
        <v>495.99200000000002</v>
      </c>
    </row>
    <row r="45" spans="1:24" ht="35.1" customHeight="1" x14ac:dyDescent="0.25">
      <c r="A45" s="587" t="str">
        <f>'[1]Atualização de custos unitarios'!A40</f>
        <v>DNIT –</v>
      </c>
      <c r="B45" s="588" t="str">
        <f>'[1]Atualização de custos unitarios'!B40</f>
        <v>E9568</v>
      </c>
      <c r="C45" s="575" t="str">
        <f>'[1]Atualização de custos unitarios'!C40</f>
        <v>Furadeira de impacto de 12,5 mm - 0,8 kW</v>
      </c>
      <c r="D45" s="590">
        <v>0.8</v>
      </c>
      <c r="E45" s="590">
        <v>5</v>
      </c>
      <c r="F45" s="591">
        <v>2000</v>
      </c>
      <c r="G45" s="592">
        <v>1175.0096999999998</v>
      </c>
      <c r="H45" s="605">
        <v>0.2</v>
      </c>
      <c r="I45" s="595" t="s">
        <v>106</v>
      </c>
      <c r="J45" s="595">
        <v>0.5</v>
      </c>
      <c r="K45" s="596"/>
      <c r="L45" s="597"/>
      <c r="M45" s="584">
        <f t="shared" si="10"/>
        <v>9.4E-2</v>
      </c>
      <c r="N45" s="585">
        <f t="shared" si="7"/>
        <v>2.12E-2</v>
      </c>
      <c r="O45" s="604"/>
      <c r="P45" s="585">
        <f t="shared" si="8"/>
        <v>5.8799999999999998E-2</v>
      </c>
      <c r="Q45" s="640"/>
      <c r="R45" s="597"/>
      <c r="S45" s="579">
        <f t="shared" si="11"/>
        <v>0.17399999999999999</v>
      </c>
      <c r="T45" s="586">
        <f t="shared" si="9"/>
        <v>0.1152</v>
      </c>
      <c r="V45" s="1780">
        <f t="shared" si="5"/>
        <v>1175.0096999999998</v>
      </c>
      <c r="X45" s="1781">
        <v>1175.4096999999999</v>
      </c>
    </row>
    <row r="46" spans="1:24" ht="35.1" customHeight="1" x14ac:dyDescent="0.25">
      <c r="A46" s="1579" t="str">
        <f>'[1]Atualização de custos unitarios'!A41</f>
        <v>DNIT –</v>
      </c>
      <c r="B46" s="612" t="str">
        <f>'[1]Atualização de custos unitarios'!B41</f>
        <v>E9571</v>
      </c>
      <c r="C46" s="575" t="str">
        <f>'[1]Atualização de custos unitarios'!C41</f>
        <v>Caminhão tanque com capacidade de 10.000 l - 188 kW (Atego 2426 - Mercedes-Benz)</v>
      </c>
      <c r="D46" s="613"/>
      <c r="E46" s="614"/>
      <c r="F46" s="614"/>
      <c r="G46" s="615"/>
      <c r="H46" s="616"/>
      <c r="I46" s="617"/>
      <c r="J46" s="617"/>
      <c r="K46" s="618"/>
      <c r="L46" s="619"/>
      <c r="M46" s="615"/>
      <c r="N46" s="615"/>
      <c r="O46" s="620"/>
      <c r="P46" s="615"/>
      <c r="Q46" s="619"/>
      <c r="R46" s="608"/>
      <c r="S46" s="601">
        <f>ROUND(S47+S48,4)</f>
        <v>204.1756</v>
      </c>
      <c r="T46" s="586">
        <f>ROUND(T47+T48,4)</f>
        <v>60.8142</v>
      </c>
      <c r="V46" s="1780">
        <f t="shared" si="5"/>
        <v>-0.4</v>
      </c>
      <c r="X46" s="1781"/>
    </row>
    <row r="47" spans="1:24" ht="35.1" customHeight="1" x14ac:dyDescent="0.25">
      <c r="A47" s="1579"/>
      <c r="B47" s="612" t="str">
        <f>'[1]Atualização de custos unitarios'!B42</f>
        <v>A9311</v>
      </c>
      <c r="C47" s="575" t="str">
        <f>'[1]Atualização de custos unitarios'!C42</f>
        <v>Caminhão plataforma 6 x 2, PBT 24.100 kg e distância entre eixos 4,8 m - 188 kW - Motorista de caminhão</v>
      </c>
      <c r="D47" s="599">
        <v>188</v>
      </c>
      <c r="E47" s="599">
        <v>7</v>
      </c>
      <c r="F47" s="600">
        <v>2000</v>
      </c>
      <c r="G47" s="601">
        <v>442100.54209999996</v>
      </c>
      <c r="H47" s="602">
        <v>0.4</v>
      </c>
      <c r="I47" s="603" t="s">
        <v>277</v>
      </c>
      <c r="J47" s="603">
        <v>0.9</v>
      </c>
      <c r="K47" s="609" t="str">
        <f>CONCATENATE('[1]Atualização de custos unitarios'!B91," - ",'[1]Atualização de custos unitarios'!C91)</f>
        <v>P9866 - Motorista de caminhão</v>
      </c>
      <c r="L47" s="610">
        <f>'[1]Atualização de custos unitarios'!E91</f>
        <v>24.1953</v>
      </c>
      <c r="M47" s="584">
        <f t="shared" ref="M47:M51" si="19">ROUND((G47*(1-H47))/(E47*F47),4)</f>
        <v>18.947199999999999</v>
      </c>
      <c r="N47" s="585">
        <f t="shared" ref="N47:N51" si="20">ROUND((G47*(E47+1)*$J$13)/(2*E47*F47),4)</f>
        <v>7.5789</v>
      </c>
      <c r="O47" s="621">
        <f>ROUND(((E47+1)*(G47*$D$13))/(2*E47*F47),4)</f>
        <v>3.1579000000000002</v>
      </c>
      <c r="P47" s="585">
        <f t="shared" ref="P47:P51" si="21">ROUND((G47*J47)/(E47*F47),4)</f>
        <v>28.4207</v>
      </c>
      <c r="Q47" s="585">
        <f>ROUND(0.18*D47*$D$12,4)</f>
        <v>109.4149</v>
      </c>
      <c r="R47" s="601">
        <f>L47</f>
        <v>24.1953</v>
      </c>
      <c r="S47" s="579">
        <f t="shared" ref="S47:S51" si="22">ROUND(M47+N47+O47+P47+Q47+R47,4)</f>
        <v>191.7149</v>
      </c>
      <c r="T47" s="586">
        <f t="shared" ref="T47:T51" si="23">ROUND(M47+N47+O47+R47,4)</f>
        <v>53.879300000000001</v>
      </c>
      <c r="V47" s="1780">
        <f t="shared" si="5"/>
        <v>442100.54209999996</v>
      </c>
      <c r="X47" s="1781">
        <v>442100.94209999999</v>
      </c>
    </row>
    <row r="48" spans="1:24" ht="35.1" customHeight="1" x14ac:dyDescent="0.25">
      <c r="A48" s="1579"/>
      <c r="B48" s="612" t="str">
        <f>'[1]Atualização de custos unitarios'!B43</f>
        <v>A9360</v>
      </c>
      <c r="C48" s="575" t="str">
        <f>'[1]Atualização de custos unitarios'!C43</f>
        <v>Tanque para transporte de água com capacidade de 10.000 l</v>
      </c>
      <c r="D48" s="606"/>
      <c r="E48" s="599">
        <v>5.8</v>
      </c>
      <c r="F48" s="600">
        <v>2000</v>
      </c>
      <c r="G48" s="601">
        <v>80123.637300000002</v>
      </c>
      <c r="H48" s="602">
        <v>0.2</v>
      </c>
      <c r="I48" s="606"/>
      <c r="J48" s="603">
        <v>0.8</v>
      </c>
      <c r="K48" s="607"/>
      <c r="L48" s="608"/>
      <c r="M48" s="584">
        <f t="shared" si="19"/>
        <v>5.5258000000000003</v>
      </c>
      <c r="N48" s="585">
        <f t="shared" si="20"/>
        <v>1.4091</v>
      </c>
      <c r="O48" s="604"/>
      <c r="P48" s="585">
        <f t="shared" si="21"/>
        <v>5.5258000000000003</v>
      </c>
      <c r="Q48" s="593"/>
      <c r="R48" s="594"/>
      <c r="S48" s="579">
        <f t="shared" si="22"/>
        <v>12.460699999999999</v>
      </c>
      <c r="T48" s="586">
        <f t="shared" si="23"/>
        <v>6.9348999999999998</v>
      </c>
      <c r="V48" s="1780">
        <f t="shared" si="5"/>
        <v>80123.637300000002</v>
      </c>
      <c r="X48" s="1781">
        <v>80124.037299999996</v>
      </c>
    </row>
    <row r="49" spans="1:24" ht="35.1" customHeight="1" x14ac:dyDescent="0.25">
      <c r="A49" s="587" t="str">
        <f>'[1]Atualização de custos unitarios'!A44</f>
        <v>DNIT –</v>
      </c>
      <c r="B49" s="574" t="str">
        <f>'[1]Atualização de custos unitarios'!B44</f>
        <v>E9574</v>
      </c>
      <c r="C49" s="575" t="str">
        <f>'[1]Atualização de custos unitarios'!C44</f>
        <v>Perfuratriz sobre esteiras - 145 kW (Power Roc T35 - Atlas Copco)</v>
      </c>
      <c r="D49" s="590">
        <v>145</v>
      </c>
      <c r="E49" s="590">
        <v>6</v>
      </c>
      <c r="F49" s="591">
        <v>2000</v>
      </c>
      <c r="G49" s="592">
        <v>2621312.0490000001</v>
      </c>
      <c r="H49" s="605">
        <v>0.2</v>
      </c>
      <c r="I49" s="595" t="s">
        <v>277</v>
      </c>
      <c r="J49" s="595">
        <v>0.8</v>
      </c>
      <c r="K49" s="609" t="str">
        <f>CONCATENATE('[1]Atualização de custos unitarios'!B88," - ",'[1]Atualização de custos unitarios'!C88)</f>
        <v>P9845 - Operador de equipamento pesado</v>
      </c>
      <c r="L49" s="610">
        <f>'[1]Atualização de custos unitarios'!E88</f>
        <v>26.764600000000002</v>
      </c>
      <c r="M49" s="584">
        <f t="shared" si="19"/>
        <v>174.75409999999999</v>
      </c>
      <c r="N49" s="585">
        <f t="shared" si="20"/>
        <v>45.872999999999998</v>
      </c>
      <c r="O49" s="598"/>
      <c r="P49" s="585">
        <f t="shared" si="21"/>
        <v>174.75409999999999</v>
      </c>
      <c r="Q49" s="585">
        <f t="shared" ref="Q49:Q51" si="24">ROUND(0.18*D49*$D$12,4)</f>
        <v>84.389099999999999</v>
      </c>
      <c r="R49" s="592">
        <f t="shared" ref="R49:R51" si="25">L49</f>
        <v>26.764600000000002</v>
      </c>
      <c r="S49" s="579">
        <f t="shared" si="22"/>
        <v>506.53489999999999</v>
      </c>
      <c r="T49" s="586">
        <f t="shared" si="23"/>
        <v>247.39169999999999</v>
      </c>
      <c r="V49" s="1780">
        <f t="shared" si="5"/>
        <v>2621312.0490000001</v>
      </c>
      <c r="X49" s="1781">
        <v>2621312.449</v>
      </c>
    </row>
    <row r="50" spans="1:24" ht="35.1" customHeight="1" x14ac:dyDescent="0.25">
      <c r="A50" s="587" t="str">
        <f>'[1]Atualização de custos unitarios'!A45</f>
        <v>DNIT –</v>
      </c>
      <c r="B50" s="574" t="str">
        <f>'[1]Atualização de custos unitarios'!B45</f>
        <v>E9576</v>
      </c>
      <c r="C50" s="575" t="str">
        <f>'[1]Atualização de custos unitarios'!C45</f>
        <v>Escavadeira hidráulica de longo alcance sobre esteiras - 103 kW (320 DL - Caterpillar)</v>
      </c>
      <c r="D50" s="599">
        <v>103</v>
      </c>
      <c r="E50" s="599">
        <v>5</v>
      </c>
      <c r="F50" s="600">
        <v>2000</v>
      </c>
      <c r="G50" s="601">
        <v>667790.41859999998</v>
      </c>
      <c r="H50" s="602">
        <v>0.3</v>
      </c>
      <c r="I50" s="603" t="s">
        <v>277</v>
      </c>
      <c r="J50" s="603">
        <v>0.7</v>
      </c>
      <c r="K50" s="609" t="str">
        <f>CONCATENATE('[1]Atualização de custos unitarios'!B88," - ",'[1]Atualização de custos unitarios'!C88)</f>
        <v>P9845 - Operador de equipamento pesado</v>
      </c>
      <c r="L50" s="610">
        <f>'[1]Atualização de custos unitarios'!E88</f>
        <v>26.764600000000002</v>
      </c>
      <c r="M50" s="584">
        <f t="shared" si="19"/>
        <v>46.7453</v>
      </c>
      <c r="N50" s="585">
        <f t="shared" si="20"/>
        <v>12.020200000000001</v>
      </c>
      <c r="O50" s="598"/>
      <c r="P50" s="585">
        <f t="shared" si="21"/>
        <v>46.7453</v>
      </c>
      <c r="Q50" s="585">
        <f t="shared" si="24"/>
        <v>59.945399999999999</v>
      </c>
      <c r="R50" s="601">
        <f t="shared" si="25"/>
        <v>26.764600000000002</v>
      </c>
      <c r="S50" s="579">
        <f t="shared" si="22"/>
        <v>192.2208</v>
      </c>
      <c r="T50" s="586">
        <f t="shared" si="23"/>
        <v>85.530100000000004</v>
      </c>
      <c r="V50" s="1780">
        <f t="shared" si="5"/>
        <v>667790.41859999998</v>
      </c>
      <c r="X50" s="1781">
        <v>667790.8186</v>
      </c>
    </row>
    <row r="51" spans="1:24" ht="35.1" customHeight="1" x14ac:dyDescent="0.25">
      <c r="A51" s="573" t="str">
        <f>'[1]Atualização de custos unitarios'!A46</f>
        <v>DNIT –</v>
      </c>
      <c r="B51" s="574" t="str">
        <f>'[1]Atualização de custos unitarios'!B46</f>
        <v>E9577</v>
      </c>
      <c r="C51" s="575" t="str">
        <f>'[1]Atualização de custos unitarios'!C46</f>
        <v>Trator agrícola - 77 kW (MF 4292 - Massey Ferguson)</v>
      </c>
      <c r="D51" s="577">
        <v>77</v>
      </c>
      <c r="E51" s="577">
        <v>6</v>
      </c>
      <c r="F51" s="578">
        <v>2000</v>
      </c>
      <c r="G51" s="579">
        <v>174896.91700000002</v>
      </c>
      <c r="H51" s="580">
        <v>0.2</v>
      </c>
      <c r="I51" s="581" t="s">
        <v>277</v>
      </c>
      <c r="J51" s="581">
        <v>0.7</v>
      </c>
      <c r="K51" s="609" t="str">
        <f>CONCATENATE('[1]Atualização de custos unitarios'!B87," - ",'[1]Atualização de custos unitarios'!C87)</f>
        <v>P9843 - Operador de equipamento leve</v>
      </c>
      <c r="L51" s="610">
        <f>'[1]Atualização de custos unitarios'!E87</f>
        <v>19.903300000000002</v>
      </c>
      <c r="M51" s="584">
        <f t="shared" si="19"/>
        <v>11.659800000000001</v>
      </c>
      <c r="N51" s="585">
        <f t="shared" si="20"/>
        <v>3.0607000000000002</v>
      </c>
      <c r="O51" s="604"/>
      <c r="P51" s="585">
        <f t="shared" si="21"/>
        <v>10.202299999999999</v>
      </c>
      <c r="Q51" s="585">
        <f t="shared" si="24"/>
        <v>44.813499999999998</v>
      </c>
      <c r="R51" s="592">
        <f t="shared" si="25"/>
        <v>19.903300000000002</v>
      </c>
      <c r="S51" s="579">
        <f t="shared" si="22"/>
        <v>89.639600000000002</v>
      </c>
      <c r="T51" s="586">
        <f t="shared" si="23"/>
        <v>34.623800000000003</v>
      </c>
      <c r="V51" s="1780">
        <f t="shared" si="5"/>
        <v>174896.91700000002</v>
      </c>
      <c r="X51" s="1781">
        <v>174897.31700000001</v>
      </c>
    </row>
    <row r="52" spans="1:24" ht="35.1" customHeight="1" x14ac:dyDescent="0.25">
      <c r="A52" s="1579" t="str">
        <f>'[1]Atualização de custos unitarios'!A47</f>
        <v>DNIT –</v>
      </c>
      <c r="B52" s="612" t="str">
        <f>'[1]Atualização de custos unitarios'!B47</f>
        <v>E9579</v>
      </c>
      <c r="C52" s="575" t="str">
        <f>'[1]Atualização de custos unitarios'!C47</f>
        <v>Caminhão basculante com capacidade de 10 m³ - 188 kW (Atron 2729  - Mercedes-Benz)</v>
      </c>
      <c r="D52" s="613"/>
      <c r="E52" s="614"/>
      <c r="F52" s="614"/>
      <c r="G52" s="615"/>
      <c r="H52" s="616"/>
      <c r="I52" s="617"/>
      <c r="J52" s="617"/>
      <c r="K52" s="618"/>
      <c r="L52" s="619"/>
      <c r="M52" s="615"/>
      <c r="N52" s="615"/>
      <c r="O52" s="620"/>
      <c r="P52" s="615"/>
      <c r="Q52" s="615"/>
      <c r="R52" s="594"/>
      <c r="S52" s="601">
        <f>ROUND(S53+S54,4)</f>
        <v>192.23320000000001</v>
      </c>
      <c r="T52" s="586">
        <f>ROUND(T53+T54,4)</f>
        <v>54.2408</v>
      </c>
      <c r="V52" s="1780">
        <f t="shared" si="5"/>
        <v>-0.4</v>
      </c>
      <c r="X52" s="1781"/>
    </row>
    <row r="53" spans="1:24" ht="35.1" customHeight="1" x14ac:dyDescent="0.25">
      <c r="A53" s="1579"/>
      <c r="B53" s="612" t="str">
        <f>'[1]Atualização de custos unitarios'!B48</f>
        <v>A9316</v>
      </c>
      <c r="C53" s="575" t="str">
        <f>'[1]Atualização de custos unitarios'!C48</f>
        <v>Caminhão plataforma 8 x 2, PBT 29.000 kg e distância entre eixos 4,8 m - 188 kW - Motorista de caminhão</v>
      </c>
      <c r="D53" s="599">
        <v>188</v>
      </c>
      <c r="E53" s="599">
        <v>7</v>
      </c>
      <c r="F53" s="600">
        <v>2000</v>
      </c>
      <c r="G53" s="601">
        <v>388014.7231</v>
      </c>
      <c r="H53" s="602">
        <v>0.4</v>
      </c>
      <c r="I53" s="603" t="s">
        <v>277</v>
      </c>
      <c r="J53" s="603">
        <v>0.9</v>
      </c>
      <c r="K53" s="609" t="str">
        <f>CONCATENATE('[1]Atualização de custos unitarios'!B91," - ",'[1]Atualização de custos unitarios'!C91)</f>
        <v>P9866 - Motorista de caminhão</v>
      </c>
      <c r="L53" s="610">
        <f>'[1]Atualização de custos unitarios'!E91</f>
        <v>24.1953</v>
      </c>
      <c r="M53" s="584">
        <f t="shared" ref="M53:M54" si="26">ROUND((G53*(1-H53))/(E53*F53),4)</f>
        <v>16.629200000000001</v>
      </c>
      <c r="N53" s="585">
        <f t="shared" ref="N53:N54" si="27">ROUND((G53*(E53+1)*$J$13)/(2*E53*F53),4)</f>
        <v>6.6516999999999999</v>
      </c>
      <c r="O53" s="621">
        <f>ROUND(((E53+1)*(G53*$D$13))/(2*E53*F53),4)</f>
        <v>2.7715000000000001</v>
      </c>
      <c r="P53" s="585">
        <f t="shared" ref="P53:P54" si="28">ROUND((G53*J53)/(E53*F53),4)</f>
        <v>24.9438</v>
      </c>
      <c r="Q53" s="585">
        <f>ROUND(0.18*D53*$D$12,4)</f>
        <v>109.4149</v>
      </c>
      <c r="R53" s="601">
        <f>L53</f>
        <v>24.1953</v>
      </c>
      <c r="S53" s="579">
        <f t="shared" ref="S53:S54" si="29">ROUND(M53+N53+O53+P53+Q53+R53,4)</f>
        <v>184.60640000000001</v>
      </c>
      <c r="T53" s="586">
        <f t="shared" ref="T53:T54" si="30">ROUND(M53+N53+O53+R53,4)</f>
        <v>50.247700000000002</v>
      </c>
      <c r="V53" s="1780">
        <f t="shared" si="5"/>
        <v>388014.7231</v>
      </c>
      <c r="X53" s="1781">
        <v>388015.12310000003</v>
      </c>
    </row>
    <row r="54" spans="1:24" ht="35.1" customHeight="1" x14ac:dyDescent="0.25">
      <c r="A54" s="1579"/>
      <c r="B54" s="612" t="str">
        <f>'[1]Atualização de custos unitarios'!B49</f>
        <v>A9342</v>
      </c>
      <c r="C54" s="575" t="str">
        <f>'[1]Atualização de custos unitarios'!C49</f>
        <v>Caçamba basculante com capacidade de 10 m³</v>
      </c>
      <c r="D54" s="576"/>
      <c r="E54" s="599">
        <v>5.3</v>
      </c>
      <c r="F54" s="600">
        <v>2000</v>
      </c>
      <c r="G54" s="601">
        <v>42796.984700000001</v>
      </c>
      <c r="H54" s="602">
        <v>0.2</v>
      </c>
      <c r="I54" s="576"/>
      <c r="J54" s="603">
        <v>0.9</v>
      </c>
      <c r="K54" s="582"/>
      <c r="L54" s="583"/>
      <c r="M54" s="584">
        <f t="shared" si="26"/>
        <v>3.23</v>
      </c>
      <c r="N54" s="585">
        <f t="shared" si="27"/>
        <v>0.7631</v>
      </c>
      <c r="O54" s="604"/>
      <c r="P54" s="585">
        <f t="shared" si="28"/>
        <v>3.6337000000000002</v>
      </c>
      <c r="Q54" s="611"/>
      <c r="R54" s="583"/>
      <c r="S54" s="579">
        <f t="shared" si="29"/>
        <v>7.6268000000000002</v>
      </c>
      <c r="T54" s="586">
        <f t="shared" si="30"/>
        <v>3.9931000000000001</v>
      </c>
      <c r="V54" s="1780">
        <f t="shared" si="5"/>
        <v>42796.984700000001</v>
      </c>
      <c r="X54" s="1781">
        <v>42797.384700000002</v>
      </c>
    </row>
    <row r="55" spans="1:24" ht="35.1" customHeight="1" x14ac:dyDescent="0.25">
      <c r="A55" s="1579" t="str">
        <f>'[1]Atualização de custos unitarios'!A50</f>
        <v>DNIT –</v>
      </c>
      <c r="B55" s="612" t="str">
        <f>'[1]Atualização de custos unitarios'!B50</f>
        <v>E9592</v>
      </c>
      <c r="C55" s="575" t="str">
        <f>'[1]Atualização de custos unitarios'!C50</f>
        <v>Caminhão carroceria com capacidade de 15 t - 188 kW (Atego 2426 - Mercedes-Benz)</v>
      </c>
      <c r="D55" s="641"/>
      <c r="E55" s="614"/>
      <c r="F55" s="614"/>
      <c r="G55" s="615"/>
      <c r="H55" s="616"/>
      <c r="I55" s="642"/>
      <c r="J55" s="617"/>
      <c r="K55" s="618"/>
      <c r="L55" s="619"/>
      <c r="M55" s="615"/>
      <c r="N55" s="615"/>
      <c r="O55" s="620"/>
      <c r="P55" s="615"/>
      <c r="Q55" s="619"/>
      <c r="R55" s="608"/>
      <c r="S55" s="601">
        <f>ROUND(S56+S57,4)</f>
        <v>195.7037</v>
      </c>
      <c r="T55" s="586">
        <f>ROUND(T56+T57,4)</f>
        <v>56.065300000000001</v>
      </c>
      <c r="V55" s="1780">
        <f t="shared" si="5"/>
        <v>-0.4</v>
      </c>
      <c r="X55" s="1781"/>
    </row>
    <row r="56" spans="1:24" ht="35.1" customHeight="1" x14ac:dyDescent="0.25">
      <c r="A56" s="1579"/>
      <c r="B56" s="612" t="str">
        <f>'[1]Atualização de custos unitarios'!B51</f>
        <v>A9314</v>
      </c>
      <c r="C56" s="575" t="str">
        <f>'[1]Atualização de custos unitarios'!C51</f>
        <v>Caminhão plataforma 6 x 2, PBT 24.100 kg e distância entre eixos 5,4 m - 188 kW - Motorista de caminhão</v>
      </c>
      <c r="D56" s="599">
        <v>188</v>
      </c>
      <c r="E56" s="599">
        <v>7</v>
      </c>
      <c r="F56" s="600">
        <v>2000</v>
      </c>
      <c r="G56" s="601">
        <v>447746.75679999997</v>
      </c>
      <c r="H56" s="602">
        <v>0.4</v>
      </c>
      <c r="I56" s="603" t="s">
        <v>277</v>
      </c>
      <c r="J56" s="603">
        <v>0.9</v>
      </c>
      <c r="K56" s="609" t="str">
        <f>CONCATENATE('[1]Atualização de custos unitarios'!B91," - ",'[1]Atualização de custos unitarios'!C91)</f>
        <v>P9866 - Motorista de caminhão</v>
      </c>
      <c r="L56" s="610">
        <f>'[1]Atualização de custos unitarios'!E91</f>
        <v>24.1953</v>
      </c>
      <c r="M56" s="584">
        <f t="shared" ref="M56:M60" si="31">ROUND((G56*(1-H56))/(E56*F56),4)</f>
        <v>19.1891</v>
      </c>
      <c r="N56" s="585">
        <f t="shared" ref="N56:N60" si="32">ROUND((G56*(E56+1)*$J$13)/(2*E56*F56),4)</f>
        <v>7.6757</v>
      </c>
      <c r="O56" s="621">
        <f>ROUND(((E56+1)*(G56*$D$13))/(2*E56*F56),4)</f>
        <v>3.1981999999999999</v>
      </c>
      <c r="P56" s="585">
        <f t="shared" ref="P56:P60" si="33">ROUND((G56*J56)/(E56*F56),4)</f>
        <v>28.7837</v>
      </c>
      <c r="Q56" s="585">
        <f>ROUND(0.18*D56*$D$12,4)</f>
        <v>109.4149</v>
      </c>
      <c r="R56" s="601">
        <f>L56</f>
        <v>24.1953</v>
      </c>
      <c r="S56" s="579">
        <f t="shared" ref="S56:S60" si="34">ROUND(M56+N56+O56+P56+Q56+R56,4)</f>
        <v>192.45689999999999</v>
      </c>
      <c r="T56" s="586">
        <f t="shared" ref="T56:T60" si="35">ROUND(M56+N56+O56+R56,4)</f>
        <v>54.258299999999998</v>
      </c>
      <c r="V56" s="1780">
        <f t="shared" si="5"/>
        <v>447746.75679999997</v>
      </c>
      <c r="X56" s="1781">
        <v>447747.1568</v>
      </c>
    </row>
    <row r="57" spans="1:24" ht="35.1" customHeight="1" x14ac:dyDescent="0.25">
      <c r="A57" s="1579"/>
      <c r="B57" s="612" t="str">
        <f>'[1]Atualização de custos unitarios'!B52</f>
        <v>A9352</v>
      </c>
      <c r="C57" s="575" t="str">
        <f>'[1]Atualização de custos unitarios'!C52</f>
        <v>Carroceria de madeira com capacidade de 15 t</v>
      </c>
      <c r="D57" s="606"/>
      <c r="E57" s="599">
        <v>5.8</v>
      </c>
      <c r="F57" s="600">
        <v>2000</v>
      </c>
      <c r="G57" s="601">
        <v>20877.269999999997</v>
      </c>
      <c r="H57" s="602">
        <v>0.2</v>
      </c>
      <c r="I57" s="606"/>
      <c r="J57" s="603">
        <v>0.8</v>
      </c>
      <c r="K57" s="596"/>
      <c r="L57" s="597"/>
      <c r="M57" s="584">
        <f t="shared" si="31"/>
        <v>1.4398</v>
      </c>
      <c r="N57" s="585">
        <f t="shared" si="32"/>
        <v>0.36720000000000003</v>
      </c>
      <c r="O57" s="604"/>
      <c r="P57" s="585">
        <f t="shared" si="33"/>
        <v>1.4398</v>
      </c>
      <c r="Q57" s="611"/>
      <c r="R57" s="583"/>
      <c r="S57" s="579">
        <f t="shared" si="34"/>
        <v>3.2467999999999999</v>
      </c>
      <c r="T57" s="586">
        <f t="shared" si="35"/>
        <v>1.8069999999999999</v>
      </c>
      <c r="V57" s="1780">
        <f t="shared" si="5"/>
        <v>20877.269999999997</v>
      </c>
      <c r="X57" s="1781">
        <v>20877.669999999998</v>
      </c>
    </row>
    <row r="58" spans="1:24" ht="35.1" customHeight="1" x14ac:dyDescent="0.25">
      <c r="A58" s="587" t="str">
        <f>'[1]Atualização de custos unitarios'!A53</f>
        <v>DNIT –</v>
      </c>
      <c r="B58" s="588" t="str">
        <f>'[1]Atualização de custos unitarios'!B53</f>
        <v>E9622</v>
      </c>
      <c r="C58" s="575" t="str">
        <f>'[1]Atualização de custos unitarios'!C53</f>
        <v>Máquina de bancada universal para corte de chapa - 1,5 Kw</v>
      </c>
      <c r="D58" s="622">
        <v>1.5</v>
      </c>
      <c r="E58" s="599">
        <v>7</v>
      </c>
      <c r="F58" s="600">
        <v>2000</v>
      </c>
      <c r="G58" s="601">
        <v>44437.445500000002</v>
      </c>
      <c r="H58" s="602">
        <v>0.2</v>
      </c>
      <c r="I58" s="603" t="s">
        <v>106</v>
      </c>
      <c r="J58" s="603">
        <v>0.6</v>
      </c>
      <c r="K58" s="596"/>
      <c r="L58" s="597"/>
      <c r="M58" s="584">
        <f t="shared" si="31"/>
        <v>2.5392999999999999</v>
      </c>
      <c r="N58" s="585">
        <f t="shared" si="32"/>
        <v>0.76180000000000003</v>
      </c>
      <c r="O58" s="604"/>
      <c r="P58" s="585">
        <f t="shared" si="33"/>
        <v>1.9045000000000001</v>
      </c>
      <c r="Q58" s="640"/>
      <c r="R58" s="597"/>
      <c r="S58" s="579">
        <f t="shared" si="34"/>
        <v>5.2055999999999996</v>
      </c>
      <c r="T58" s="586">
        <f t="shared" si="35"/>
        <v>3.3010999999999999</v>
      </c>
      <c r="V58" s="1780">
        <f t="shared" si="5"/>
        <v>44437.445500000002</v>
      </c>
      <c r="X58" s="1781">
        <v>44437.845500000003</v>
      </c>
    </row>
    <row r="59" spans="1:24" ht="35.1" customHeight="1" x14ac:dyDescent="0.25">
      <c r="A59" s="587" t="str">
        <f>'[1]Atualização de custos unitarios'!A54</f>
        <v>DNIT –</v>
      </c>
      <c r="B59" s="588" t="str">
        <f>'[1]Atualização de custos unitarios'!B54</f>
        <v>E9623</v>
      </c>
      <c r="C59" s="575" t="str">
        <f>'[1]Atualização de custos unitarios'!C54</f>
        <v>Máquina de Bancada - guilhotina (4 kW)</v>
      </c>
      <c r="D59" s="599">
        <v>4</v>
      </c>
      <c r="E59" s="599">
        <v>7</v>
      </c>
      <c r="F59" s="600">
        <v>2000</v>
      </c>
      <c r="G59" s="601">
        <v>97638.694000000003</v>
      </c>
      <c r="H59" s="602">
        <v>0.2</v>
      </c>
      <c r="I59" s="603" t="s">
        <v>106</v>
      </c>
      <c r="J59" s="603">
        <v>0.6</v>
      </c>
      <c r="K59" s="596"/>
      <c r="L59" s="597"/>
      <c r="M59" s="584">
        <f t="shared" si="31"/>
        <v>5.5793999999999997</v>
      </c>
      <c r="N59" s="585">
        <f t="shared" si="32"/>
        <v>1.6738</v>
      </c>
      <c r="O59" s="604"/>
      <c r="P59" s="585">
        <f t="shared" si="33"/>
        <v>4.1844999999999999</v>
      </c>
      <c r="Q59" s="640"/>
      <c r="R59" s="597"/>
      <c r="S59" s="579">
        <f t="shared" si="34"/>
        <v>11.4377</v>
      </c>
      <c r="T59" s="586">
        <f t="shared" si="35"/>
        <v>7.2531999999999996</v>
      </c>
      <c r="V59" s="1780">
        <f t="shared" si="5"/>
        <v>97638.694000000003</v>
      </c>
      <c r="X59" s="1781">
        <v>97639.093999999997</v>
      </c>
    </row>
    <row r="60" spans="1:24" ht="35.1" customHeight="1" x14ac:dyDescent="0.25">
      <c r="A60" s="587" t="str">
        <f>'[1]Atualização de custos unitarios'!A55</f>
        <v>DNIT –</v>
      </c>
      <c r="B60" s="588" t="str">
        <f>'[1]Atualização de custos unitarios'!B55</f>
        <v>E9647</v>
      </c>
      <c r="C60" s="575" t="str">
        <f>'[1]Atualização de custos unitarios'!C55</f>
        <v>Compactador manual com soquete vibratório - 4,1 kW (CP-80 - Fortemac)</v>
      </c>
      <c r="D60" s="599">
        <v>4.0999999999999996</v>
      </c>
      <c r="E60" s="599">
        <v>6</v>
      </c>
      <c r="F60" s="600">
        <v>2000</v>
      </c>
      <c r="G60" s="601">
        <v>9771.3648000000012</v>
      </c>
      <c r="H60" s="602">
        <v>0.2</v>
      </c>
      <c r="I60" s="603" t="s">
        <v>278</v>
      </c>
      <c r="J60" s="603">
        <v>0.8</v>
      </c>
      <c r="K60" s="596"/>
      <c r="L60" s="597"/>
      <c r="M60" s="584">
        <f t="shared" si="31"/>
        <v>0.65139999999999998</v>
      </c>
      <c r="N60" s="585">
        <f t="shared" si="32"/>
        <v>0.17100000000000001</v>
      </c>
      <c r="O60" s="604"/>
      <c r="P60" s="585">
        <f t="shared" si="33"/>
        <v>0.65139999999999998</v>
      </c>
      <c r="Q60" s="592">
        <f>ROUND(0.2*D60*$H$12,4)</f>
        <v>3.3285</v>
      </c>
      <c r="R60" s="596"/>
      <c r="S60" s="579">
        <f t="shared" si="34"/>
        <v>4.8022999999999998</v>
      </c>
      <c r="T60" s="586">
        <f t="shared" si="35"/>
        <v>0.82240000000000002</v>
      </c>
      <c r="V60" s="1780">
        <f t="shared" si="5"/>
        <v>9771.3648000000012</v>
      </c>
      <c r="X60" s="1781">
        <v>9771.7648000000008</v>
      </c>
    </row>
    <row r="61" spans="1:24" ht="35.1" customHeight="1" x14ac:dyDescent="0.25">
      <c r="A61" s="1579" t="str">
        <f>'[1]Atualização de custos unitarios'!A56</f>
        <v>DNIT –</v>
      </c>
      <c r="B61" s="612" t="str">
        <f>'[1]Atualização de custos unitarios'!B56</f>
        <v>E9666</v>
      </c>
      <c r="C61" s="575" t="str">
        <f>'[1]Atualização de custos unitarios'!C56</f>
        <v>Cavalo mecânico com semi-reboque e capacidade de 30 t - 240 kW (Axor 2041 - Mercedes-Benz / Randon)</v>
      </c>
      <c r="D61" s="613"/>
      <c r="E61" s="614"/>
      <c r="F61" s="614"/>
      <c r="G61" s="615"/>
      <c r="H61" s="616"/>
      <c r="I61" s="617"/>
      <c r="J61" s="617"/>
      <c r="K61" s="618"/>
      <c r="L61" s="619"/>
      <c r="M61" s="615"/>
      <c r="N61" s="615"/>
      <c r="O61" s="620"/>
      <c r="P61" s="615"/>
      <c r="Q61" s="619"/>
      <c r="R61" s="608"/>
      <c r="S61" s="601">
        <f>ROUND(S62+S63,4)</f>
        <v>272.46269999999998</v>
      </c>
      <c r="T61" s="586">
        <f>ROUND(T62+T63,4)</f>
        <v>83.802000000000007</v>
      </c>
      <c r="V61" s="1780">
        <f t="shared" si="5"/>
        <v>-0.4</v>
      </c>
      <c r="X61" s="1781"/>
    </row>
    <row r="62" spans="1:24" ht="35.1" customHeight="1" x14ac:dyDescent="0.25">
      <c r="A62" s="1579"/>
      <c r="B62" s="612" t="str">
        <f>'[1]Atualização de custos unitarios'!B57</f>
        <v>A9318</v>
      </c>
      <c r="C62" s="575" t="str">
        <f>'[1]Atualização de custos unitarios'!C57</f>
        <v>Cavalo mecânico 4 x 2, PBT 16.000 kg - 240 kW - Motorista de veículo especial</v>
      </c>
      <c r="D62" s="599">
        <v>240</v>
      </c>
      <c r="E62" s="599">
        <v>7</v>
      </c>
      <c r="F62" s="600">
        <v>2000</v>
      </c>
      <c r="G62" s="601">
        <v>516209.50429999997</v>
      </c>
      <c r="H62" s="602">
        <v>0.4</v>
      </c>
      <c r="I62" s="603" t="s">
        <v>277</v>
      </c>
      <c r="J62" s="603">
        <v>0.9</v>
      </c>
      <c r="K62" s="609" t="str">
        <f>CONCATENATE('[1]Atualização de custos unitarios'!B93," - ",'[1]Atualização de custos unitarios'!C93)</f>
        <v>P9871 - Motorista de veículo especial</v>
      </c>
      <c r="L62" s="610">
        <f>'[1]Atualização de custos unitarios'!E93</f>
        <v>28.2547</v>
      </c>
      <c r="M62" s="584">
        <f t="shared" ref="M62:M63" si="36">ROUND((G62*(1-H62))/(E62*F62),4)</f>
        <v>22.1233</v>
      </c>
      <c r="N62" s="585">
        <f t="shared" ref="N62:N63" si="37">ROUND((G62*(E62+1)*$J$13)/(2*E62*F62),4)</f>
        <v>8.8492999999999995</v>
      </c>
      <c r="O62" s="621">
        <f>ROUND(((E62+1)*(G62*$D$13))/(2*E62*F62),4)</f>
        <v>3.6871999999999998</v>
      </c>
      <c r="P62" s="585">
        <f t="shared" ref="P62:P63" si="38">ROUND((G62*J62)/(E62*F62),4)</f>
        <v>33.184899999999999</v>
      </c>
      <c r="Q62" s="585">
        <f>ROUND(0.18*D62*$D$12,4)</f>
        <v>139.67859999999999</v>
      </c>
      <c r="R62" s="601">
        <f>L62</f>
        <v>28.2547</v>
      </c>
      <c r="S62" s="579">
        <f>ROUND(M62+N62+O62+P62+Q62+R62,4)</f>
        <v>235.77799999999999</v>
      </c>
      <c r="T62" s="586">
        <f t="shared" ref="T62:T63" si="39">ROUND(M62+N62+O62+R62,4)</f>
        <v>62.914499999999997</v>
      </c>
      <c r="V62" s="1780">
        <f t="shared" si="5"/>
        <v>516209.50429999997</v>
      </c>
      <c r="X62" s="1781">
        <v>516209.90429999999</v>
      </c>
    </row>
    <row r="63" spans="1:24" ht="35.1" customHeight="1" x14ac:dyDescent="0.25">
      <c r="A63" s="1579"/>
      <c r="B63" s="612" t="str">
        <f>'[1]Atualização de custos unitarios'!B58</f>
        <v>A9354</v>
      </c>
      <c r="C63" s="575" t="str">
        <f>'[1]Atualização de custos unitarios'!C58</f>
        <v>Semi-Reboque com 3 eixos</v>
      </c>
      <c r="D63" s="576"/>
      <c r="E63" s="599">
        <v>12</v>
      </c>
      <c r="F63" s="600">
        <v>1000</v>
      </c>
      <c r="G63" s="601">
        <v>210629.6</v>
      </c>
      <c r="H63" s="602">
        <v>0.2</v>
      </c>
      <c r="I63" s="576"/>
      <c r="J63" s="603">
        <v>0.9</v>
      </c>
      <c r="K63" s="582"/>
      <c r="L63" s="583"/>
      <c r="M63" s="584">
        <f t="shared" si="36"/>
        <v>14.042</v>
      </c>
      <c r="N63" s="585">
        <f t="shared" si="37"/>
        <v>6.8455000000000004</v>
      </c>
      <c r="O63" s="604"/>
      <c r="P63" s="585">
        <f t="shared" si="38"/>
        <v>15.7972</v>
      </c>
      <c r="Q63" s="611"/>
      <c r="R63" s="583"/>
      <c r="S63" s="579">
        <f t="shared" ref="S62:S63" si="40">ROUND(M63+N63+O63+P63+Q63+R63,4)</f>
        <v>36.684699999999999</v>
      </c>
      <c r="T63" s="586">
        <f t="shared" si="39"/>
        <v>20.887499999999999</v>
      </c>
      <c r="V63" s="1780">
        <f t="shared" si="5"/>
        <v>210629.6</v>
      </c>
      <c r="X63" s="1781">
        <v>210630</v>
      </c>
    </row>
    <row r="64" spans="1:24" ht="35.1" customHeight="1" x14ac:dyDescent="0.25">
      <c r="A64" s="1579" t="str">
        <f>'[1]Atualização de custos unitarios'!A59</f>
        <v>DNIT –</v>
      </c>
      <c r="B64" s="612" t="str">
        <f>'[1]Atualização de custos unitarios'!B59</f>
        <v>E9667</v>
      </c>
      <c r="C64" s="575" t="str">
        <f>'[1]Atualização de custos unitarios'!C59</f>
        <v>Caminhão basculante com capacidade de 14 m³ - 323 kW</v>
      </c>
      <c r="D64" s="641"/>
      <c r="E64" s="614"/>
      <c r="F64" s="614"/>
      <c r="G64" s="615"/>
      <c r="H64" s="616"/>
      <c r="I64" s="642"/>
      <c r="J64" s="617"/>
      <c r="K64" s="618"/>
      <c r="L64" s="619"/>
      <c r="M64" s="615"/>
      <c r="N64" s="615"/>
      <c r="O64" s="620"/>
      <c r="P64" s="615"/>
      <c r="Q64" s="619"/>
      <c r="R64" s="608"/>
      <c r="S64" s="601">
        <f>ROUND(S65+S66,4)</f>
        <v>265.84519999999998</v>
      </c>
      <c r="T64" s="586">
        <f>ROUND(T65+T66,4)</f>
        <v>51.721200000000003</v>
      </c>
      <c r="V64" s="1780">
        <f t="shared" si="5"/>
        <v>-0.4</v>
      </c>
      <c r="X64" s="1781"/>
    </row>
    <row r="65" spans="1:24" ht="35.1" customHeight="1" x14ac:dyDescent="0.25">
      <c r="A65" s="1579"/>
      <c r="B65" s="612" t="str">
        <f>'[1]Atualização de custos unitarios'!B60</f>
        <v>A9323</v>
      </c>
      <c r="C65" s="575" t="str">
        <f>'[1]Atualização de custos unitarios'!C60</f>
        <v>Caminhão basc. fora de estrada 6x4, PBT 31.500kg, distância entre eixos 3,6m - 323 kW - Motorista de caminhão</v>
      </c>
      <c r="D65" s="599">
        <v>323</v>
      </c>
      <c r="E65" s="599">
        <v>7</v>
      </c>
      <c r="F65" s="600">
        <v>2000</v>
      </c>
      <c r="G65" s="601">
        <v>342566.43299999996</v>
      </c>
      <c r="H65" s="602">
        <v>0.4</v>
      </c>
      <c r="I65" s="603" t="s">
        <v>277</v>
      </c>
      <c r="J65" s="603">
        <v>0.9</v>
      </c>
      <c r="K65" s="609" t="str">
        <f>CONCATENATE('[1]Atualização de custos unitarios'!B91," - ",'[1]Atualização de custos unitarios'!C91)</f>
        <v>P9866 - Motorista de caminhão</v>
      </c>
      <c r="L65" s="610">
        <f>'[1]Atualização de custos unitarios'!E91</f>
        <v>24.1953</v>
      </c>
      <c r="M65" s="584">
        <f t="shared" ref="M65:M68" si="41">ROUND((G65*(1-H65))/(E65*F65),4)</f>
        <v>14.6814</v>
      </c>
      <c r="N65" s="585">
        <f t="shared" ref="N65:N68" si="42">ROUND((G65*(E65+1)*$J$13)/(2*E65*F65),4)</f>
        <v>5.8726000000000003</v>
      </c>
      <c r="O65" s="621">
        <f>ROUND(((E65+1)*(G65*$D$13))/(2*E65*F65),4)</f>
        <v>2.4468999999999999</v>
      </c>
      <c r="P65" s="585">
        <f t="shared" ref="P65:P68" si="43">ROUND((G65*J65)/(E65*F65),4)</f>
        <v>22.022099999999998</v>
      </c>
      <c r="Q65" s="585">
        <f>ROUND(0.18*D65*$D$12,4)</f>
        <v>187.98410000000001</v>
      </c>
      <c r="R65" s="601">
        <f>L65</f>
        <v>24.1953</v>
      </c>
      <c r="S65" s="579">
        <f t="shared" ref="S65:S68" si="44">ROUND(M65+N65+O65+P65+Q65+R65,4)</f>
        <v>257.20240000000001</v>
      </c>
      <c r="T65" s="586">
        <f t="shared" ref="T65:T68" si="45">ROUND(M65+N65+O65+R65,4)</f>
        <v>47.196199999999997</v>
      </c>
      <c r="V65" s="1780">
        <f t="shared" si="5"/>
        <v>342566.43299999996</v>
      </c>
      <c r="X65" s="1781">
        <v>342566.83299999998</v>
      </c>
    </row>
    <row r="66" spans="1:24" ht="35.1" customHeight="1" x14ac:dyDescent="0.25">
      <c r="A66" s="1579"/>
      <c r="B66" s="612" t="str">
        <f>'[1]Atualização de custos unitarios'!B61</f>
        <v>A9344</v>
      </c>
      <c r="C66" s="575" t="str">
        <f>'[1]Atualização de custos unitarios'!C61</f>
        <v>Caçamba basculante com capacidade de 14 m³</v>
      </c>
      <c r="D66" s="606"/>
      <c r="E66" s="599">
        <v>5.3</v>
      </c>
      <c r="F66" s="600">
        <v>2000</v>
      </c>
      <c r="G66" s="601">
        <v>48498.929400000001</v>
      </c>
      <c r="H66" s="602">
        <v>0.2</v>
      </c>
      <c r="I66" s="606"/>
      <c r="J66" s="603">
        <v>0.9</v>
      </c>
      <c r="K66" s="607"/>
      <c r="L66" s="608"/>
      <c r="M66" s="584">
        <f t="shared" si="41"/>
        <v>3.6602999999999999</v>
      </c>
      <c r="N66" s="585">
        <f t="shared" si="42"/>
        <v>0.86470000000000002</v>
      </c>
      <c r="O66" s="604"/>
      <c r="P66" s="585">
        <f t="shared" si="43"/>
        <v>4.1177999999999999</v>
      </c>
      <c r="Q66" s="619"/>
      <c r="R66" s="608"/>
      <c r="S66" s="579">
        <f t="shared" si="44"/>
        <v>8.6427999999999994</v>
      </c>
      <c r="T66" s="586">
        <f t="shared" si="45"/>
        <v>4.5250000000000004</v>
      </c>
      <c r="V66" s="1780">
        <f t="shared" si="5"/>
        <v>48498.929400000001</v>
      </c>
      <c r="X66" s="1781">
        <v>48499.329400000002</v>
      </c>
    </row>
    <row r="67" spans="1:24" ht="35.1" customHeight="1" x14ac:dyDescent="0.25">
      <c r="A67" s="587" t="str">
        <f>'[1]Atualização de custos unitarios'!A62</f>
        <v>DNIT –</v>
      </c>
      <c r="B67" s="588" t="str">
        <f>'[1]Atualização de custos unitarios'!B62</f>
        <v>E9684</v>
      </c>
      <c r="C67" s="575" t="str">
        <f>'[1]Atualização de custos unitarios'!C62</f>
        <v>Veículo leve Pick Up 4 x 4 - 147 kW (S10 - Chevrolet 4 x 4 - Cabine Dupla)</v>
      </c>
      <c r="D67" s="599">
        <v>147</v>
      </c>
      <c r="E67" s="599">
        <v>5</v>
      </c>
      <c r="F67" s="600">
        <v>2000</v>
      </c>
      <c r="G67" s="601">
        <v>189545.3965</v>
      </c>
      <c r="H67" s="602">
        <v>0.4</v>
      </c>
      <c r="I67" s="603" t="s">
        <v>277</v>
      </c>
      <c r="J67" s="603">
        <v>0.6</v>
      </c>
      <c r="K67" s="609" t="str">
        <f>CONCATENATE('[1]Atualização de custos unitarios'!B92," - ",'[1]Atualização de custos unitarios'!C92)</f>
        <v>P9870 - Motorista de veículo leve</v>
      </c>
      <c r="L67" s="610">
        <f>'[1]Atualização de custos unitarios'!E92</f>
        <v>21.675799999999999</v>
      </c>
      <c r="M67" s="584">
        <f t="shared" si="41"/>
        <v>11.3727</v>
      </c>
      <c r="N67" s="585">
        <f t="shared" si="42"/>
        <v>3.4117999999999999</v>
      </c>
      <c r="O67" s="621">
        <f>ROUND(((E67+1)*(G67*$D$13))/(2*E67*F67),4)</f>
        <v>1.4216</v>
      </c>
      <c r="P67" s="585">
        <f t="shared" si="43"/>
        <v>11.3727</v>
      </c>
      <c r="Q67" s="585">
        <f t="shared" ref="Q67:Q68" si="46">ROUND(0.18*D67*$D$12,4)</f>
        <v>85.553100000000001</v>
      </c>
      <c r="R67" s="601">
        <f t="shared" ref="R67:R68" si="47">L67</f>
        <v>21.675799999999999</v>
      </c>
      <c r="S67" s="579">
        <f t="shared" si="44"/>
        <v>134.80770000000001</v>
      </c>
      <c r="T67" s="586">
        <f t="shared" si="45"/>
        <v>37.881900000000002</v>
      </c>
      <c r="V67" s="1780">
        <f t="shared" si="5"/>
        <v>189545.3965</v>
      </c>
      <c r="X67" s="1781">
        <v>189545.7965</v>
      </c>
    </row>
    <row r="68" spans="1:24" ht="35.1" customHeight="1" x14ac:dyDescent="0.25">
      <c r="A68" s="587" t="str">
        <f>'[1]Atualização de custos unitarios'!A63</f>
        <v>DNIT –</v>
      </c>
      <c r="B68" s="630" t="str">
        <f>'[1]Atualização de custos unitarios'!B63</f>
        <v>E9685</v>
      </c>
      <c r="C68" s="575" t="str">
        <f>'[1]Atualização de custos unitarios'!C63</f>
        <v>Rolo compactador pé de carneiro vibratório autopropelido de 11,6 t - 82 kW (CA 250 D - Dynapac)</v>
      </c>
      <c r="D68" s="599">
        <v>82</v>
      </c>
      <c r="E68" s="599">
        <v>6</v>
      </c>
      <c r="F68" s="600">
        <v>2000</v>
      </c>
      <c r="G68" s="601">
        <v>500741.70979999995</v>
      </c>
      <c r="H68" s="602">
        <v>0.2</v>
      </c>
      <c r="I68" s="603" t="s">
        <v>277</v>
      </c>
      <c r="J68" s="603">
        <v>0.8</v>
      </c>
      <c r="K68" s="609" t="str">
        <f>CONCATENATE('[1]Atualização de custos unitarios'!B88," - ",'[1]Atualização de custos unitarios'!C88)</f>
        <v>P9845 - Operador de equipamento pesado</v>
      </c>
      <c r="L68" s="610">
        <f>'[1]Atualização de custos unitarios'!E88</f>
        <v>26.764600000000002</v>
      </c>
      <c r="M68" s="584">
        <f t="shared" si="41"/>
        <v>33.382800000000003</v>
      </c>
      <c r="N68" s="585">
        <f t="shared" si="42"/>
        <v>8.7629999999999999</v>
      </c>
      <c r="O68" s="576"/>
      <c r="P68" s="585">
        <f t="shared" si="43"/>
        <v>33.382800000000003</v>
      </c>
      <c r="Q68" s="585">
        <f t="shared" si="46"/>
        <v>47.723500000000001</v>
      </c>
      <c r="R68" s="601">
        <f t="shared" si="47"/>
        <v>26.764600000000002</v>
      </c>
      <c r="S68" s="579">
        <f t="shared" si="44"/>
        <v>150.01669999999999</v>
      </c>
      <c r="T68" s="586">
        <f t="shared" si="45"/>
        <v>68.910399999999996</v>
      </c>
      <c r="V68" s="1780">
        <f t="shared" si="5"/>
        <v>500741.70979999995</v>
      </c>
      <c r="X68" s="1781">
        <v>500742.10979999998</v>
      </c>
    </row>
    <row r="69" spans="1:24" ht="35.1" customHeight="1" x14ac:dyDescent="0.25">
      <c r="A69" s="1578" t="str">
        <f>'[1]Atualização de custos unitarios'!A64</f>
        <v>DNIT –</v>
      </c>
      <c r="B69" s="612" t="str">
        <f>'[1]Atualização de custos unitarios'!B64</f>
        <v>E9686</v>
      </c>
      <c r="C69" s="575" t="str">
        <f>'[1]Atualização de custos unitarios'!C64</f>
        <v>Caminhão carroceria com guindauto com capacidade de 20 t.m - 136 kW</v>
      </c>
      <c r="D69" s="613"/>
      <c r="E69" s="614"/>
      <c r="F69" s="614"/>
      <c r="G69" s="615"/>
      <c r="H69" s="616"/>
      <c r="I69" s="617"/>
      <c r="J69" s="617"/>
      <c r="K69" s="618"/>
      <c r="L69" s="619"/>
      <c r="M69" s="615"/>
      <c r="N69" s="615"/>
      <c r="O69" s="620"/>
      <c r="P69" s="615"/>
      <c r="Q69" s="619"/>
      <c r="R69" s="608"/>
      <c r="S69" s="601">
        <f>ROUND(S70+S71+S72,4)</f>
        <v>198.30840000000001</v>
      </c>
      <c r="T69" s="586">
        <f>ROUND(T70+T71+T72,4)</f>
        <v>85.255899999999997</v>
      </c>
      <c r="V69" s="1780">
        <f t="shared" si="5"/>
        <v>-0.4</v>
      </c>
      <c r="X69" s="1781"/>
    </row>
    <row r="70" spans="1:24" ht="35.1" customHeight="1" x14ac:dyDescent="0.25">
      <c r="A70" s="1578"/>
      <c r="B70" s="612" t="str">
        <f>'[1]Atualização de custos unitarios'!B65</f>
        <v>A9308</v>
      </c>
      <c r="C70" s="575" t="str">
        <f>'[1]Atualização de custos unitarios'!C65</f>
        <v>Caminhão plataforma 4 x 2, PBT 17.100 kg e distância entre eixos 4,8 m - 136 kW - Motorista de veículo especial</v>
      </c>
      <c r="D70" s="599">
        <v>136</v>
      </c>
      <c r="E70" s="599">
        <v>7</v>
      </c>
      <c r="F70" s="600">
        <v>2000</v>
      </c>
      <c r="G70" s="601">
        <v>402509.65359999996</v>
      </c>
      <c r="H70" s="602">
        <v>0.4</v>
      </c>
      <c r="I70" s="603" t="s">
        <v>277</v>
      </c>
      <c r="J70" s="603">
        <v>0.9</v>
      </c>
      <c r="K70" s="609" t="str">
        <f>CONCATENATE('[1]Atualização de custos unitarios'!B93," - ",'[1]Atualização de custos unitarios'!C93)</f>
        <v>P9871 - Motorista de veículo especial</v>
      </c>
      <c r="L70" s="610">
        <f>'[1]Atualização de custos unitarios'!E93</f>
        <v>28.2547</v>
      </c>
      <c r="M70" s="584">
        <f t="shared" ref="M70:M72" si="48">ROUND((G70*(1-H70))/(E70*F70),4)</f>
        <v>17.250399999999999</v>
      </c>
      <c r="N70" s="585">
        <f t="shared" ref="N70:N72" si="49">ROUND((G70*(E70+1)*$J$13)/(2*E70*F70),4)</f>
        <v>6.9001999999999999</v>
      </c>
      <c r="O70" s="621">
        <f>ROUND(((E70+1)*(G70*$D$13))/(2*E70*F70),4)</f>
        <v>2.8751000000000002</v>
      </c>
      <c r="P70" s="585">
        <f t="shared" ref="P70:P72" si="50">ROUND((G70*J70)/(E70*F70),4)</f>
        <v>25.875599999999999</v>
      </c>
      <c r="Q70" s="585">
        <f>ROUND(0.18*D70*$D$12,4)</f>
        <v>79.151200000000003</v>
      </c>
      <c r="R70" s="601">
        <f t="shared" ref="R70:R71" si="51">L70</f>
        <v>28.2547</v>
      </c>
      <c r="S70" s="579">
        <f t="shared" ref="S70:S72" si="52">ROUND(M70+N70+O70+P70+Q70+R70,4)</f>
        <v>160.30719999999999</v>
      </c>
      <c r="T70" s="586">
        <f t="shared" ref="T70:T72" si="53">ROUND(M70+N70+O70+R70,4)</f>
        <v>55.2804</v>
      </c>
      <c r="V70" s="1780">
        <f t="shared" si="5"/>
        <v>402509.65359999996</v>
      </c>
      <c r="X70" s="1781">
        <v>402510.05359999998</v>
      </c>
    </row>
    <row r="71" spans="1:24" ht="35.1" customHeight="1" x14ac:dyDescent="0.25">
      <c r="A71" s="1578"/>
      <c r="B71" s="612" t="str">
        <f>'[1]Atualização de custos unitarios'!B66</f>
        <v>A9372</v>
      </c>
      <c r="C71" s="575" t="str">
        <f>'[1]Atualização de custos unitarios'!C66</f>
        <v>Guindaste articulado montado sobre chassi com capacidade de 20 t.m</v>
      </c>
      <c r="D71" s="576"/>
      <c r="E71" s="599">
        <v>5.8</v>
      </c>
      <c r="F71" s="600">
        <v>2000</v>
      </c>
      <c r="G71" s="601">
        <v>100124.1983</v>
      </c>
      <c r="H71" s="602">
        <v>0.2</v>
      </c>
      <c r="I71" s="576"/>
      <c r="J71" s="603">
        <v>0.8</v>
      </c>
      <c r="K71" s="609" t="str">
        <f>CONCATENATE('[1]Atualização de custos unitarios'!B87," - ",'[1]Atualização de custos unitarios'!C87)</f>
        <v>P9843 - Operador de equipamento leve</v>
      </c>
      <c r="L71" s="610">
        <f>'[1]Atualização de custos unitarios'!E87</f>
        <v>19.903300000000002</v>
      </c>
      <c r="M71" s="584">
        <f t="shared" si="48"/>
        <v>6.9051</v>
      </c>
      <c r="N71" s="585">
        <f t="shared" si="49"/>
        <v>1.7607999999999999</v>
      </c>
      <c r="O71" s="604"/>
      <c r="P71" s="585">
        <f t="shared" si="50"/>
        <v>6.9051</v>
      </c>
      <c r="Q71" s="576"/>
      <c r="R71" s="585">
        <f t="shared" si="51"/>
        <v>19.903300000000002</v>
      </c>
      <c r="S71" s="579">
        <f t="shared" si="52"/>
        <v>35.474299999999999</v>
      </c>
      <c r="T71" s="586">
        <f t="shared" si="53"/>
        <v>28.569199999999999</v>
      </c>
      <c r="V71" s="1780">
        <f t="shared" si="5"/>
        <v>100124.1983</v>
      </c>
      <c r="X71" s="1781">
        <v>100124.5983</v>
      </c>
    </row>
    <row r="72" spans="1:24" ht="35.1" customHeight="1" x14ac:dyDescent="0.25">
      <c r="A72" s="1578"/>
      <c r="B72" s="612" t="str">
        <f>'[1]Atualização de custos unitarios'!B67</f>
        <v>A9349</v>
      </c>
      <c r="C72" s="575" t="str">
        <f>'[1]Atualização de custos unitarios'!C67</f>
        <v>Carroceria de madeira com capacidade de 7 t</v>
      </c>
      <c r="D72" s="604"/>
      <c r="E72" s="599">
        <v>5.8</v>
      </c>
      <c r="F72" s="600">
        <v>2000</v>
      </c>
      <c r="G72" s="601">
        <v>16248.2</v>
      </c>
      <c r="H72" s="602">
        <v>0.2</v>
      </c>
      <c r="I72" s="604"/>
      <c r="J72" s="603">
        <v>0.8</v>
      </c>
      <c r="K72" s="582"/>
      <c r="L72" s="583"/>
      <c r="M72" s="584">
        <f t="shared" si="48"/>
        <v>1.1206</v>
      </c>
      <c r="N72" s="585">
        <f t="shared" si="49"/>
        <v>0.28570000000000001</v>
      </c>
      <c r="O72" s="604"/>
      <c r="P72" s="585">
        <f t="shared" si="50"/>
        <v>1.1206</v>
      </c>
      <c r="Q72" s="596"/>
      <c r="R72" s="597"/>
      <c r="S72" s="579">
        <f t="shared" si="52"/>
        <v>2.5268999999999999</v>
      </c>
      <c r="T72" s="586">
        <f t="shared" si="53"/>
        <v>1.4063000000000001</v>
      </c>
      <c r="V72" s="1780">
        <f t="shared" si="5"/>
        <v>16248.2</v>
      </c>
      <c r="X72" s="1781">
        <v>16248.6</v>
      </c>
    </row>
    <row r="73" spans="1:24" ht="35.1" customHeight="1" x14ac:dyDescent="0.25">
      <c r="A73" s="1579" t="str">
        <f>'[1]Atualização de custos unitarios'!A68</f>
        <v>DNIT –</v>
      </c>
      <c r="B73" s="612" t="str">
        <f>'[1]Atualização de custos unitarios'!B68</f>
        <v>E9687</v>
      </c>
      <c r="C73" s="575" t="str">
        <f>'[1]Atualização de custos unitarios'!C68</f>
        <v>Caminhão carroceria com capacidade de 5 t - 115 Kw (Accelo 815 - Mercedes-Benz</v>
      </c>
      <c r="D73" s="641"/>
      <c r="E73" s="614"/>
      <c r="F73" s="614"/>
      <c r="G73" s="615"/>
      <c r="H73" s="616"/>
      <c r="I73" s="642"/>
      <c r="J73" s="617"/>
      <c r="K73" s="618"/>
      <c r="L73" s="619"/>
      <c r="M73" s="615"/>
      <c r="N73" s="615"/>
      <c r="O73" s="620"/>
      <c r="P73" s="615"/>
      <c r="Q73" s="619"/>
      <c r="R73" s="608"/>
      <c r="S73" s="601">
        <f>ROUND(S74+S75,4)</f>
        <v>135.4453</v>
      </c>
      <c r="T73" s="586">
        <f>ROUND(T74+T75,4)</f>
        <v>48.924599999999998</v>
      </c>
      <c r="V73" s="1780">
        <f t="shared" si="5"/>
        <v>-0.4</v>
      </c>
      <c r="X73" s="1781"/>
    </row>
    <row r="74" spans="1:24" ht="35.1" customHeight="1" x14ac:dyDescent="0.25">
      <c r="A74" s="1579"/>
      <c r="B74" s="612" t="str">
        <f>'[1]Atualização de custos unitarios'!B69</f>
        <v>A9303</v>
      </c>
      <c r="C74" s="575" t="str">
        <f>'[1]Atualização de custos unitarios'!C69</f>
        <v>Caminhão plataforma 4 x 2, PBT 9.600 kg e distância entre eixos 3,7 m - 115 kW - Motorista de veículo especial</v>
      </c>
      <c r="D74" s="599">
        <v>115</v>
      </c>
      <c r="E74" s="599">
        <v>7</v>
      </c>
      <c r="F74" s="600">
        <v>2000</v>
      </c>
      <c r="G74" s="601">
        <v>289406.46529999998</v>
      </c>
      <c r="H74" s="602">
        <v>0.4</v>
      </c>
      <c r="I74" s="603" t="s">
        <v>277</v>
      </c>
      <c r="J74" s="603">
        <v>0.9</v>
      </c>
      <c r="K74" s="609" t="str">
        <f>CONCATENATE('[1]Atualização de custos unitarios'!B93," - ",'[1]Atualização de custos unitarios'!C93)</f>
        <v>P9871 - Motorista de veículo especial</v>
      </c>
      <c r="L74" s="610">
        <f>'[1]Atualização de custos unitarios'!E93</f>
        <v>28.2547</v>
      </c>
      <c r="M74" s="584">
        <f t="shared" ref="M74:M76" si="54">ROUND((G74*(1-H74))/(E74*F74),4)</f>
        <v>12.4031</v>
      </c>
      <c r="N74" s="585">
        <f t="shared" ref="N74:N76" si="55">ROUND((G74*(E74+1)*$J$13)/(2*E74*F74),4)</f>
        <v>4.9612999999999996</v>
      </c>
      <c r="O74" s="621">
        <f>ROUND(((E74+1)*(G74*$D$13))/(2*E74*F74),4)</f>
        <v>2.0672000000000001</v>
      </c>
      <c r="P74" s="585">
        <f t="shared" ref="P74:P76" si="56">ROUND((G74*J74)/(E74*F74),4)</f>
        <v>18.604700000000001</v>
      </c>
      <c r="Q74" s="585">
        <f>ROUND(0.18*D74*$D$12,4)</f>
        <v>66.929299999999998</v>
      </c>
      <c r="R74" s="601">
        <f>L74</f>
        <v>28.2547</v>
      </c>
      <c r="S74" s="579">
        <f t="shared" ref="S74:S76" si="57">ROUND(M74+N74+O74+P74+Q74+R74,4)</f>
        <v>133.22030000000001</v>
      </c>
      <c r="T74" s="586">
        <f t="shared" ref="T74:T76" si="58">ROUND(M74+N74+O74+R74,4)</f>
        <v>47.686300000000003</v>
      </c>
      <c r="V74" s="1780">
        <f t="shared" si="5"/>
        <v>289406.46529999998</v>
      </c>
      <c r="X74" s="1781">
        <v>289406.8653</v>
      </c>
    </row>
    <row r="75" spans="1:24" ht="35.1" customHeight="1" x14ac:dyDescent="0.25">
      <c r="A75" s="1579"/>
      <c r="B75" s="612" t="str">
        <f>'[1]Atualização de custos unitarios'!B70</f>
        <v>A9348</v>
      </c>
      <c r="C75" s="575" t="str">
        <f>'[1]Atualização de custos unitarios'!C70</f>
        <v>Carroceria de madeira com capacidade de 5 t</v>
      </c>
      <c r="D75" s="606"/>
      <c r="E75" s="599">
        <v>5.8</v>
      </c>
      <c r="F75" s="600">
        <v>2000</v>
      </c>
      <c r="G75" s="601">
        <v>14306.6427</v>
      </c>
      <c r="H75" s="602">
        <v>0.2</v>
      </c>
      <c r="I75" s="606"/>
      <c r="J75" s="603">
        <v>0.8</v>
      </c>
      <c r="K75" s="607"/>
      <c r="L75" s="608"/>
      <c r="M75" s="584">
        <f t="shared" si="54"/>
        <v>0.98670000000000002</v>
      </c>
      <c r="N75" s="585">
        <f t="shared" si="55"/>
        <v>0.25159999999999999</v>
      </c>
      <c r="O75" s="576"/>
      <c r="P75" s="585">
        <f t="shared" si="56"/>
        <v>0.98670000000000002</v>
      </c>
      <c r="Q75" s="619"/>
      <c r="R75" s="608"/>
      <c r="S75" s="579">
        <f t="shared" si="57"/>
        <v>2.2250000000000001</v>
      </c>
      <c r="T75" s="586">
        <f t="shared" si="58"/>
        <v>1.2383</v>
      </c>
      <c r="V75" s="1780">
        <f t="shared" si="5"/>
        <v>14306.6427</v>
      </c>
      <c r="X75" s="1781">
        <v>14307.0427</v>
      </c>
    </row>
    <row r="76" spans="1:24" ht="35.1" customHeight="1" x14ac:dyDescent="0.25">
      <c r="A76" s="587" t="str">
        <f>'[1]Atualização de custos unitarios'!A71</f>
        <v>DNIT –</v>
      </c>
      <c r="B76" s="630" t="str">
        <f>'[1]Atualização de custos unitarios'!B71</f>
        <v>E9762</v>
      </c>
      <c r="C76" s="575" t="str">
        <f>'[1]Atualização de custos unitarios'!C71</f>
        <v>Rolo compactador de pneus autopropelido de 27 t - 85 kW</v>
      </c>
      <c r="D76" s="599">
        <v>85</v>
      </c>
      <c r="E76" s="599">
        <v>6</v>
      </c>
      <c r="F76" s="600">
        <v>2000</v>
      </c>
      <c r="G76" s="601">
        <v>529427.5098</v>
      </c>
      <c r="H76" s="602">
        <v>0.2</v>
      </c>
      <c r="I76" s="603" t="s">
        <v>277</v>
      </c>
      <c r="J76" s="603">
        <v>0.8</v>
      </c>
      <c r="K76" s="609" t="str">
        <f>CONCATENATE('[1]Atualização de custos unitarios'!B88," - ",'[1]Atualização de custos unitarios'!C88)</f>
        <v>P9845 - Operador de equipamento pesado</v>
      </c>
      <c r="L76" s="610">
        <f>'[1]Atualização de custos unitarios'!E88</f>
        <v>26.764600000000002</v>
      </c>
      <c r="M76" s="584">
        <f t="shared" si="54"/>
        <v>35.295200000000001</v>
      </c>
      <c r="N76" s="585">
        <f t="shared" si="55"/>
        <v>9.2650000000000006</v>
      </c>
      <c r="O76" s="589"/>
      <c r="P76" s="585">
        <f t="shared" si="56"/>
        <v>35.295200000000001</v>
      </c>
      <c r="Q76" s="585">
        <f>ROUND(0.18*D76*$D$12,4)</f>
        <v>49.469499999999996</v>
      </c>
      <c r="R76" s="601">
        <f>L76</f>
        <v>26.764600000000002</v>
      </c>
      <c r="S76" s="579">
        <f t="shared" si="57"/>
        <v>156.08949999999999</v>
      </c>
      <c r="T76" s="586">
        <f t="shared" si="58"/>
        <v>71.324799999999996</v>
      </c>
      <c r="V76" s="1780">
        <f t="shared" si="5"/>
        <v>529427.5098</v>
      </c>
      <c r="X76" s="1781">
        <v>529427.90980000002</v>
      </c>
    </row>
    <row r="77" spans="1:24" ht="8.1" customHeight="1" x14ac:dyDescent="0.25">
      <c r="A77" s="553"/>
      <c r="B77" s="554"/>
      <c r="C77" s="643"/>
      <c r="D77" s="644"/>
      <c r="E77" s="644"/>
      <c r="F77" s="644"/>
      <c r="G77" s="645"/>
      <c r="H77" s="646"/>
      <c r="I77" s="647"/>
      <c r="J77" s="647"/>
      <c r="K77" s="647"/>
      <c r="L77" s="644"/>
      <c r="M77" s="644"/>
      <c r="N77" s="644"/>
      <c r="O77" s="644"/>
      <c r="P77" s="644"/>
      <c r="Q77" s="644"/>
      <c r="R77" s="644"/>
      <c r="S77" s="644"/>
      <c r="T77" s="648"/>
    </row>
    <row r="78" spans="1:24" x14ac:dyDescent="0.25">
      <c r="A78" s="503"/>
      <c r="B78" s="503"/>
      <c r="C78" s="503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</row>
    <row r="79" spans="1:24" ht="44.1" customHeight="1" x14ac:dyDescent="0.25">
      <c r="A79" s="650" t="s">
        <v>279</v>
      </c>
      <c r="B79" s="651"/>
      <c r="C79" s="651"/>
      <c r="D79" s="652"/>
      <c r="E79" s="652"/>
      <c r="F79" s="651"/>
      <c r="G79" s="651"/>
      <c r="H79" s="652"/>
      <c r="I79" s="652"/>
      <c r="J79" s="652"/>
      <c r="K79" s="652"/>
      <c r="L79" s="652"/>
      <c r="M79" s="652"/>
      <c r="N79" s="652"/>
      <c r="O79" s="652"/>
      <c r="P79" s="649"/>
      <c r="Q79" s="649"/>
      <c r="R79" s="649"/>
      <c r="S79" s="649"/>
      <c r="T79" s="649"/>
    </row>
    <row r="80" spans="1:24" ht="55.35" customHeight="1" x14ac:dyDescent="0.25">
      <c r="A80" s="653" t="s">
        <v>280</v>
      </c>
      <c r="B80" s="1580" t="s">
        <v>281</v>
      </c>
      <c r="C80" s="1580"/>
      <c r="D80" s="1580"/>
      <c r="E80" s="1580"/>
      <c r="F80" s="1580"/>
      <c r="G80" s="1580"/>
      <c r="H80" s="1580"/>
      <c r="I80" s="1580"/>
      <c r="J80" s="1580"/>
      <c r="K80" s="1580"/>
      <c r="L80" s="1580"/>
      <c r="M80" s="1580"/>
      <c r="N80" s="1580"/>
      <c r="O80" s="1580"/>
      <c r="P80" s="1580"/>
      <c r="Q80" s="1580"/>
      <c r="R80" s="1580"/>
      <c r="S80" s="1580"/>
      <c r="T80" s="1580"/>
    </row>
    <row r="81" spans="1:20" x14ac:dyDescent="0.25">
      <c r="A81" s="503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</row>
  </sheetData>
  <sheetProtection selectLockedCells="1" selectUnlockedCells="1"/>
  <mergeCells count="28">
    <mergeCell ref="A11:T11"/>
    <mergeCell ref="C6:L6"/>
    <mergeCell ref="A4:B4"/>
    <mergeCell ref="A9:B9"/>
    <mergeCell ref="A69:A72"/>
    <mergeCell ref="A73:A75"/>
    <mergeCell ref="B80:T80"/>
    <mergeCell ref="A25:A27"/>
    <mergeCell ref="A46:A48"/>
    <mergeCell ref="A52:A54"/>
    <mergeCell ref="A55:A57"/>
    <mergeCell ref="A61:A63"/>
    <mergeCell ref="A64:A66"/>
    <mergeCell ref="S14:T14"/>
    <mergeCell ref="O12:T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L15"/>
    <mergeCell ref="M14:O14"/>
    <mergeCell ref="P14:P15"/>
    <mergeCell ref="Q14:R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rstPageNumber="0" orientation="landscape" horizontalDpi="300" verticalDpi="30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41"/>
  <sheetViews>
    <sheetView view="pageBreakPreview" zoomScale="80" zoomScaleNormal="80" zoomScaleSheetLayoutView="80" workbookViewId="0">
      <selection activeCell="A12" sqref="A12:L13"/>
    </sheetView>
  </sheetViews>
  <sheetFormatPr defaultColWidth="9.21875" defaultRowHeight="13.2" x14ac:dyDescent="0.25"/>
  <cols>
    <col min="1" max="1" width="7.33203125" style="349" customWidth="1"/>
    <col min="2" max="2" width="7.6640625" style="349" customWidth="1"/>
    <col min="3" max="3" width="10.6640625" style="349" customWidth="1"/>
    <col min="4" max="4" width="12.44140625" style="349" customWidth="1"/>
    <col min="5" max="5" width="46.6640625" style="349" customWidth="1"/>
    <col min="6" max="6" width="20.77734375" style="349" customWidth="1"/>
    <col min="7" max="7" width="8.77734375" style="349" customWidth="1"/>
    <col min="8" max="18" width="10.6640625" style="349" customWidth="1"/>
    <col min="19" max="19" width="9.5546875" style="349" customWidth="1"/>
    <col min="20" max="16384" width="9.21875" style="349"/>
  </cols>
  <sheetData>
    <row r="1" spans="1:22" ht="20.100000000000001" customHeight="1" x14ac:dyDescent="0.25">
      <c r="A1" s="503"/>
      <c r="B1" s="503"/>
      <c r="C1" s="1796" t="s">
        <v>710</v>
      </c>
      <c r="D1" s="1795" t="str">
        <f>ORÇAMENTÁRIA!D1</f>
        <v>J J BORGES DE OLIVEIRA EIRELI</v>
      </c>
      <c r="F1" s="1788"/>
      <c r="G1" s="1788"/>
      <c r="H1" s="1788"/>
      <c r="I1" s="1788"/>
      <c r="J1" s="1788"/>
      <c r="K1" s="1788"/>
      <c r="L1" s="1788"/>
      <c r="M1" s="1785"/>
      <c r="N1" s="351"/>
      <c r="O1" s="351"/>
      <c r="P1" s="351"/>
      <c r="Q1" s="351"/>
      <c r="R1" s="351"/>
      <c r="S1" s="351"/>
    </row>
    <row r="2" spans="1:22" ht="20.100000000000001" customHeight="1" x14ac:dyDescent="0.25">
      <c r="A2" s="503"/>
      <c r="B2" s="503"/>
      <c r="C2" s="1796" t="s">
        <v>712</v>
      </c>
      <c r="D2" s="1795" t="str">
        <f>ORÇAMENTÁRIA!D2</f>
        <v>20.129.307/0001-02</v>
      </c>
      <c r="F2" s="1789"/>
      <c r="G2" s="1789"/>
      <c r="H2" s="1789"/>
      <c r="I2" s="1789"/>
      <c r="J2" s="1789"/>
      <c r="K2" s="1789"/>
      <c r="L2" s="1789"/>
      <c r="M2" s="354"/>
      <c r="N2" s="351"/>
      <c r="O2" s="351"/>
      <c r="P2" s="351"/>
      <c r="Q2" s="351"/>
      <c r="R2" s="351"/>
      <c r="S2" s="351"/>
    </row>
    <row r="3" spans="1:22" ht="22.8" customHeight="1" x14ac:dyDescent="0.25">
      <c r="A3" s="503"/>
      <c r="B3" s="1823" t="s">
        <v>719</v>
      </c>
      <c r="C3" s="1823"/>
      <c r="D3" s="1789" t="str">
        <f>ORÇAMENTÁRIA!D3</f>
        <v>Nª 2/2021-003</v>
      </c>
      <c r="F3" s="1789"/>
      <c r="G3" s="1790"/>
      <c r="H3" s="1790"/>
      <c r="I3" s="1789"/>
      <c r="J3" s="1789"/>
      <c r="K3" s="1789"/>
      <c r="L3" s="1789"/>
      <c r="M3" s="351"/>
      <c r="N3" s="351"/>
      <c r="O3" s="351"/>
      <c r="P3" s="351"/>
      <c r="Q3" s="351"/>
      <c r="R3" s="351"/>
      <c r="S3" s="351"/>
    </row>
    <row r="4" spans="1:22" ht="20.100000000000001" customHeight="1" x14ac:dyDescent="0.25">
      <c r="A4" s="503"/>
      <c r="B4" s="503"/>
      <c r="C4" s="1797" t="s">
        <v>720</v>
      </c>
      <c r="D4" s="1789" t="str">
        <f>ORÇAMENTÁRIA!D4</f>
        <v>TOMADA DE PREÇOS</v>
      </c>
      <c r="F4" s="1789"/>
      <c r="G4" s="1790"/>
      <c r="H4" s="1790"/>
      <c r="I4" s="1789"/>
      <c r="J4" s="1789"/>
      <c r="K4" s="1789"/>
      <c r="L4" s="1789"/>
      <c r="M4" s="355"/>
      <c r="N4" s="351"/>
      <c r="O4" s="351"/>
      <c r="P4" s="351"/>
      <c r="Q4" s="351"/>
      <c r="R4" s="351"/>
      <c r="S4" s="351"/>
    </row>
    <row r="5" spans="1:22" ht="42.6" customHeight="1" x14ac:dyDescent="0.25">
      <c r="A5" s="503"/>
      <c r="B5" s="503"/>
      <c r="C5" s="1796" t="s">
        <v>715</v>
      </c>
      <c r="D5" s="1800" t="str">
        <f>ORÇAMENTÁRIA!D5</f>
        <v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v>
      </c>
      <c r="E5" s="1800"/>
      <c r="F5" s="1800"/>
      <c r="G5" s="1800"/>
      <c r="H5" s="1800"/>
      <c r="I5" s="1800"/>
      <c r="J5" s="1800"/>
      <c r="K5" s="1800"/>
      <c r="L5" s="1800"/>
      <c r="M5" s="1800"/>
      <c r="N5" s="351"/>
      <c r="O5" s="351"/>
      <c r="P5" s="351"/>
      <c r="Q5" s="351"/>
      <c r="R5" s="351"/>
      <c r="S5" s="351"/>
    </row>
    <row r="6" spans="1:22" ht="20.100000000000001" customHeight="1" x14ac:dyDescent="0.25">
      <c r="A6" s="503"/>
      <c r="B6" s="503"/>
      <c r="C6" s="1796" t="s">
        <v>716</v>
      </c>
      <c r="D6" s="1789" t="str">
        <f>ORÇAMENTÁRIA!D6</f>
        <v>PREFEITURA MINUCIPAL DE AURORA DO PARÁ</v>
      </c>
      <c r="F6" s="1789"/>
      <c r="G6" s="1789"/>
      <c r="H6" s="1789"/>
      <c r="I6" s="1789"/>
      <c r="J6" s="1789"/>
      <c r="K6" s="1789"/>
      <c r="L6" s="1789"/>
      <c r="M6" s="1785"/>
      <c r="N6" s="351"/>
      <c r="O6" s="351"/>
      <c r="P6" s="351"/>
      <c r="Q6" s="351"/>
      <c r="R6" s="351"/>
      <c r="S6" s="351"/>
    </row>
    <row r="7" spans="1:22" ht="20.100000000000001" customHeight="1" x14ac:dyDescent="0.25">
      <c r="A7" s="503"/>
      <c r="B7" s="503"/>
      <c r="C7" s="1798" t="s">
        <v>717</v>
      </c>
      <c r="D7" s="1792">
        <f>ORÇAMENTÁRIA!D7</f>
        <v>0.25569999999999998</v>
      </c>
      <c r="F7" s="1789"/>
      <c r="G7" s="1789"/>
      <c r="H7" s="1789"/>
      <c r="I7" s="1789"/>
      <c r="J7" s="1789"/>
      <c r="K7" s="1789"/>
      <c r="L7" s="1789"/>
      <c r="M7" s="354"/>
      <c r="N7" s="351"/>
      <c r="O7" s="351"/>
      <c r="P7" s="351"/>
      <c r="Q7" s="351"/>
      <c r="R7" s="351"/>
      <c r="S7" s="351"/>
    </row>
    <row r="8" spans="1:22" ht="20.100000000000001" customHeight="1" x14ac:dyDescent="0.25">
      <c r="A8" s="503"/>
      <c r="B8" s="1824" t="s">
        <v>718</v>
      </c>
      <c r="C8" s="1824"/>
      <c r="D8" s="1789" t="str">
        <f>ORÇAMENTÁRIA!D8</f>
        <v xml:space="preserve"> PA MANOEL CRESCÊNCIO DE SOUZA</v>
      </c>
      <c r="F8" s="1789"/>
      <c r="G8" s="1789"/>
      <c r="H8" s="1789"/>
      <c r="I8" s="1789"/>
      <c r="J8" s="1789"/>
      <c r="K8" s="1789"/>
      <c r="L8" s="1789"/>
      <c r="M8" s="356"/>
      <c r="N8" s="351"/>
      <c r="O8" s="351"/>
      <c r="P8" s="351"/>
      <c r="Q8" s="351"/>
      <c r="R8" s="351"/>
      <c r="S8" s="351"/>
    </row>
    <row r="9" spans="1:22" ht="20.100000000000001" customHeight="1" x14ac:dyDescent="0.25">
      <c r="A9" s="503"/>
      <c r="B9" s="503"/>
      <c r="C9" s="503"/>
      <c r="D9" s="503"/>
      <c r="E9" s="503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</row>
    <row r="10" spans="1:22" ht="20.100000000000001" customHeight="1" x14ac:dyDescent="0.3">
      <c r="A10" s="1812" t="s">
        <v>282</v>
      </c>
      <c r="B10" s="1813"/>
      <c r="C10" s="1813"/>
      <c r="D10" s="1813"/>
      <c r="E10" s="1813"/>
      <c r="F10" s="1813"/>
      <c r="G10" s="1813"/>
      <c r="H10" s="1813"/>
      <c r="I10" s="1813"/>
      <c r="J10" s="1813"/>
      <c r="K10" s="1813"/>
      <c r="L10" s="1813"/>
      <c r="M10" s="1813"/>
      <c r="N10" s="1813"/>
      <c r="O10" s="1813"/>
      <c r="P10" s="1813"/>
      <c r="Q10" s="1813"/>
      <c r="R10" s="1813"/>
      <c r="S10" s="1814"/>
    </row>
    <row r="11" spans="1:22" ht="22.5" customHeight="1" thickBot="1" x14ac:dyDescent="0.3">
      <c r="A11" s="1818" t="s">
        <v>283</v>
      </c>
      <c r="B11" s="1818"/>
      <c r="C11" s="1818"/>
      <c r="D11" s="1818"/>
      <c r="E11" s="1818"/>
      <c r="F11" s="1819" t="s">
        <v>257</v>
      </c>
      <c r="G11" s="1819"/>
      <c r="H11" s="1819"/>
      <c r="I11" s="1820" t="s">
        <v>284</v>
      </c>
      <c r="J11" s="1820"/>
      <c r="K11" s="1575" t="s">
        <v>269</v>
      </c>
      <c r="L11" s="1575"/>
      <c r="M11" s="1576" t="s">
        <v>285</v>
      </c>
      <c r="N11" s="1576" t="s">
        <v>286</v>
      </c>
      <c r="O11" s="1576" t="s">
        <v>287</v>
      </c>
      <c r="P11" s="1575" t="s">
        <v>288</v>
      </c>
      <c r="Q11" s="1575"/>
      <c r="R11" s="1576" t="s">
        <v>289</v>
      </c>
      <c r="S11" s="1821" t="s">
        <v>290</v>
      </c>
    </row>
    <row r="12" spans="1:22" ht="45" customHeight="1" thickBot="1" x14ac:dyDescent="0.3">
      <c r="A12" s="1582" t="s">
        <v>256</v>
      </c>
      <c r="B12" s="1582"/>
      <c r="C12" s="655" t="s">
        <v>291</v>
      </c>
      <c r="D12" s="1583" t="s">
        <v>292</v>
      </c>
      <c r="E12" s="1583"/>
      <c r="F12" s="1583" t="s">
        <v>293</v>
      </c>
      <c r="G12" s="1583"/>
      <c r="H12" s="656" t="s">
        <v>294</v>
      </c>
      <c r="I12" s="656" t="s">
        <v>295</v>
      </c>
      <c r="J12" s="656" t="s">
        <v>296</v>
      </c>
      <c r="K12" s="563" t="s">
        <v>297</v>
      </c>
      <c r="L12" s="566" t="s">
        <v>298</v>
      </c>
      <c r="M12" s="1574"/>
      <c r="N12" s="1574"/>
      <c r="O12" s="1574"/>
      <c r="P12" s="563" t="s">
        <v>299</v>
      </c>
      <c r="Q12" s="563" t="s">
        <v>300</v>
      </c>
      <c r="R12" s="1574"/>
      <c r="S12" s="1581"/>
      <c r="T12" s="564"/>
      <c r="U12" s="564"/>
      <c r="V12" s="564"/>
    </row>
    <row r="13" spans="1:22" ht="8.1" customHeight="1" x14ac:dyDescent="0.25">
      <c r="A13" s="569"/>
      <c r="B13" s="570"/>
      <c r="C13" s="570"/>
      <c r="D13" s="570"/>
      <c r="E13" s="571"/>
      <c r="F13" s="571"/>
      <c r="G13" s="570"/>
      <c r="H13" s="654"/>
      <c r="I13" s="657"/>
      <c r="J13" s="657"/>
      <c r="K13" s="658"/>
      <c r="L13" s="658"/>
      <c r="M13" s="658"/>
      <c r="N13" s="658"/>
      <c r="O13" s="658"/>
      <c r="P13" s="659"/>
      <c r="Q13" s="660"/>
      <c r="R13" s="661"/>
      <c r="S13" s="662"/>
    </row>
    <row r="14" spans="1:22" ht="27.9" customHeight="1" x14ac:dyDescent="0.25">
      <c r="A14" s="663" t="s">
        <v>301</v>
      </c>
      <c r="B14" s="664">
        <v>5914404</v>
      </c>
      <c r="C14" s="665" t="s">
        <v>302</v>
      </c>
      <c r="D14" s="666" t="s">
        <v>303</v>
      </c>
      <c r="E14" s="667" t="s">
        <v>304</v>
      </c>
      <c r="F14" s="1584" t="str">
        <f>'[1]Composições - Equipamentos'!C18</f>
        <v>Caminhão carroceria com capacidade de 9 t - 136 kW (Atego 1419 - Mercedes-Benz)</v>
      </c>
      <c r="G14" s="1585" t="str">
        <f>'[1]Composições - Equipamentos'!B18</f>
        <v>E9508</v>
      </c>
      <c r="H14" s="1586">
        <v>1</v>
      </c>
      <c r="I14" s="1587">
        <v>1</v>
      </c>
      <c r="J14" s="1587">
        <v>0</v>
      </c>
      <c r="K14" s="1588">
        <f>'[1]Composições - Equipamentos'!S18</f>
        <v>159.31229999999999</v>
      </c>
      <c r="L14" s="1588">
        <f>'[1]Composições - Equipamentos'!T18</f>
        <v>52.926499999999997</v>
      </c>
      <c r="M14" s="1588">
        <f>H14*I14*K14+H14*J14*L14</f>
        <v>159.31229999999999</v>
      </c>
      <c r="N14" s="668">
        <v>149.4</v>
      </c>
      <c r="O14" s="669">
        <f>ROUND(M14/N14,4)</f>
        <v>1.0663</v>
      </c>
      <c r="P14" s="670">
        <f>ROUND([1]FIC!$F$11*[1]FIC!$H$21*[1]FIC!$H$34*[1]FIC!$L$6,5)</f>
        <v>4.8980000000000003E-2</v>
      </c>
      <c r="Q14" s="671">
        <f t="shared" ref="Q14:Q15" si="0">ROUND(O14*P14,4)</f>
        <v>5.2200000000000003E-2</v>
      </c>
      <c r="R14" s="672">
        <f t="shared" ref="R14:R40" si="1">ROUND(O14+Q14,4)</f>
        <v>1.1185</v>
      </c>
      <c r="S14" s="673">
        <f t="shared" ref="S14:S40" si="2">ROUND(R14,2)</f>
        <v>1.1200000000000001</v>
      </c>
    </row>
    <row r="15" spans="1:22" ht="27.9" customHeight="1" x14ac:dyDescent="0.25">
      <c r="A15" s="674" t="s">
        <v>301</v>
      </c>
      <c r="B15" s="675">
        <v>5914419</v>
      </c>
      <c r="C15" s="676" t="s">
        <v>305</v>
      </c>
      <c r="D15" s="677" t="s">
        <v>303</v>
      </c>
      <c r="E15" s="678" t="s">
        <v>306</v>
      </c>
      <c r="F15" s="1584"/>
      <c r="G15" s="1585"/>
      <c r="H15" s="1586"/>
      <c r="I15" s="1587"/>
      <c r="J15" s="1587"/>
      <c r="K15" s="1588"/>
      <c r="L15" s="1588"/>
      <c r="M15" s="1588"/>
      <c r="N15" s="679">
        <v>186.75</v>
      </c>
      <c r="O15" s="680">
        <f>ROUND(M14/N15,4)</f>
        <v>0.85309999999999997</v>
      </c>
      <c r="P15" s="681">
        <f>ROUND([1]FIC!$F$11*[1]FIC!$H$21*[1]FIC!$H$34*[1]FIC!$L$6,5)</f>
        <v>4.8980000000000003E-2</v>
      </c>
      <c r="Q15" s="682">
        <f t="shared" si="0"/>
        <v>4.1799999999999997E-2</v>
      </c>
      <c r="R15" s="683">
        <f t="shared" si="1"/>
        <v>0.89490000000000003</v>
      </c>
      <c r="S15" s="684">
        <f t="shared" si="2"/>
        <v>0.89</v>
      </c>
    </row>
    <row r="16" spans="1:22" ht="27.9" customHeight="1" x14ac:dyDescent="0.25">
      <c r="A16" s="685" t="s">
        <v>301</v>
      </c>
      <c r="B16" s="686">
        <v>5914434</v>
      </c>
      <c r="C16" s="687" t="s">
        <v>307</v>
      </c>
      <c r="D16" s="688" t="s">
        <v>303</v>
      </c>
      <c r="E16" s="689" t="s">
        <v>308</v>
      </c>
      <c r="F16" s="1584"/>
      <c r="G16" s="1585"/>
      <c r="H16" s="1586"/>
      <c r="I16" s="1587"/>
      <c r="J16" s="1587"/>
      <c r="K16" s="1588"/>
      <c r="L16" s="1588"/>
      <c r="M16" s="1588"/>
      <c r="N16" s="690">
        <v>224.1</v>
      </c>
      <c r="O16" s="691">
        <f>ROUND(M14/N16,4)</f>
        <v>0.71089999999999998</v>
      </c>
      <c r="P16" s="692"/>
      <c r="Q16" s="693"/>
      <c r="R16" s="694">
        <f t="shared" si="1"/>
        <v>0.71089999999999998</v>
      </c>
      <c r="S16" s="695">
        <f t="shared" si="2"/>
        <v>0.71</v>
      </c>
    </row>
    <row r="17" spans="1:24" ht="27.9" customHeight="1" x14ac:dyDescent="0.25">
      <c r="A17" s="663" t="s">
        <v>301</v>
      </c>
      <c r="B17" s="664">
        <v>5915466</v>
      </c>
      <c r="C17" s="665" t="s">
        <v>302</v>
      </c>
      <c r="D17" s="666" t="s">
        <v>309</v>
      </c>
      <c r="E17" s="667" t="s">
        <v>310</v>
      </c>
      <c r="F17" s="1584" t="str">
        <f>'[1]Composições - Equipamentos'!C39</f>
        <v>Caminhão tanque com capacidade de 10.000 l - 188 kW (Atego 2426 - Mercedes-Benz)</v>
      </c>
      <c r="G17" s="1585" t="str">
        <f>'[1]Composições - Equipamentos'!B39</f>
        <v>E9571</v>
      </c>
      <c r="H17" s="1586">
        <v>1</v>
      </c>
      <c r="I17" s="1587">
        <v>1</v>
      </c>
      <c r="J17" s="1587">
        <v>0</v>
      </c>
      <c r="K17" s="1588">
        <f>'[1]Composições - Equipamentos'!S39</f>
        <v>204.17570000000001</v>
      </c>
      <c r="L17" s="1588">
        <f>'[1]Composições - Equipamentos'!T39</f>
        <v>60.8142</v>
      </c>
      <c r="M17" s="1588">
        <f>H17*I17*K17+H17*J17*L17</f>
        <v>204.17570000000001</v>
      </c>
      <c r="N17" s="696">
        <v>166</v>
      </c>
      <c r="O17" s="669">
        <f>ROUND(M17/N17,4)</f>
        <v>1.23</v>
      </c>
      <c r="P17" s="670">
        <f>ROUND([1]FIC!$F$11*[1]FIC!$H$21*[1]FIC!$H$34*[1]FIC!$L$6,5)</f>
        <v>4.8980000000000003E-2</v>
      </c>
      <c r="Q17" s="671">
        <f t="shared" ref="Q17:Q18" si="3">ROUND(O17*P17,4)</f>
        <v>6.0199999999999997E-2</v>
      </c>
      <c r="R17" s="672">
        <f t="shared" si="1"/>
        <v>1.2902</v>
      </c>
      <c r="S17" s="673">
        <f t="shared" si="2"/>
        <v>1.29</v>
      </c>
    </row>
    <row r="18" spans="1:24" ht="27.9" customHeight="1" x14ac:dyDescent="0.25">
      <c r="A18" s="674" t="s">
        <v>301</v>
      </c>
      <c r="B18" s="675">
        <v>5915467</v>
      </c>
      <c r="C18" s="676" t="s">
        <v>305</v>
      </c>
      <c r="D18" s="677" t="s">
        <v>309</v>
      </c>
      <c r="E18" s="678" t="s">
        <v>311</v>
      </c>
      <c r="F18" s="1584"/>
      <c r="G18" s="1585"/>
      <c r="H18" s="1586"/>
      <c r="I18" s="1587"/>
      <c r="J18" s="1587"/>
      <c r="K18" s="1588"/>
      <c r="L18" s="1588"/>
      <c r="M18" s="1588"/>
      <c r="N18" s="697">
        <v>207.5</v>
      </c>
      <c r="O18" s="680">
        <f>ROUND(M17/N18,4)</f>
        <v>0.98399999999999999</v>
      </c>
      <c r="P18" s="681">
        <f>ROUND([1]FIC!$F$11*[1]FIC!$H$21*[1]FIC!$H$34*[1]FIC!$L$6,5)</f>
        <v>4.8980000000000003E-2</v>
      </c>
      <c r="Q18" s="682">
        <f t="shared" si="3"/>
        <v>4.82E-2</v>
      </c>
      <c r="R18" s="683">
        <f t="shared" si="1"/>
        <v>1.0322</v>
      </c>
      <c r="S18" s="684">
        <f t="shared" si="2"/>
        <v>1.03</v>
      </c>
    </row>
    <row r="19" spans="1:24" ht="27.9" customHeight="1" x14ac:dyDescent="0.25">
      <c r="A19" s="685" t="s">
        <v>301</v>
      </c>
      <c r="B19" s="686">
        <v>5915468</v>
      </c>
      <c r="C19" s="687" t="s">
        <v>307</v>
      </c>
      <c r="D19" s="688" t="s">
        <v>309</v>
      </c>
      <c r="E19" s="689" t="s">
        <v>312</v>
      </c>
      <c r="F19" s="1584"/>
      <c r="G19" s="1585"/>
      <c r="H19" s="1586"/>
      <c r="I19" s="1587"/>
      <c r="J19" s="1587"/>
      <c r="K19" s="1588"/>
      <c r="L19" s="1588"/>
      <c r="M19" s="1588"/>
      <c r="N19" s="698">
        <v>249</v>
      </c>
      <c r="O19" s="691">
        <f>ROUND(M17/N19,4)</f>
        <v>0.82</v>
      </c>
      <c r="P19" s="692"/>
      <c r="Q19" s="693"/>
      <c r="R19" s="694">
        <f t="shared" si="1"/>
        <v>0.82</v>
      </c>
      <c r="S19" s="695">
        <f t="shared" si="2"/>
        <v>0.82</v>
      </c>
    </row>
    <row r="20" spans="1:24" ht="27.9" customHeight="1" x14ac:dyDescent="0.25">
      <c r="A20" s="663" t="s">
        <v>301</v>
      </c>
      <c r="B20" s="664">
        <v>5914359</v>
      </c>
      <c r="C20" s="665" t="s">
        <v>302</v>
      </c>
      <c r="D20" s="666" t="s">
        <v>313</v>
      </c>
      <c r="E20" s="699" t="s">
        <v>314</v>
      </c>
      <c r="F20" s="1584" t="str">
        <f>'[1]Composições - Equipamentos'!C45</f>
        <v>Caminhão basculante com capacidade de 10 m³ - 188 kW (Atron 2729  - Mercedes-Benz)</v>
      </c>
      <c r="G20" s="1585" t="str">
        <f>'[1]Composições - Equipamentos'!B45</f>
        <v>E9579</v>
      </c>
      <c r="H20" s="1586">
        <v>1</v>
      </c>
      <c r="I20" s="1587">
        <v>1</v>
      </c>
      <c r="J20" s="1587">
        <v>0</v>
      </c>
      <c r="K20" s="1588">
        <f>'[1]Composições - Equipamentos'!S45</f>
        <v>192.23320000000001</v>
      </c>
      <c r="L20" s="1588">
        <f>'[1]Composições - Equipamentos'!T45</f>
        <v>54.2408</v>
      </c>
      <c r="M20" s="1588">
        <f>H20*I20*K20+H20*J20*L20</f>
        <v>192.23320000000001</v>
      </c>
      <c r="N20" s="668">
        <v>249</v>
      </c>
      <c r="O20" s="669">
        <f>ROUND(M20/N20,4)</f>
        <v>0.77200000000000002</v>
      </c>
      <c r="P20" s="670">
        <f>ROUND([1]FIC!$F$11*[1]FIC!$H$21*[1]FIC!$H$34*[1]FIC!$L$6,5)</f>
        <v>4.8980000000000003E-2</v>
      </c>
      <c r="Q20" s="671">
        <f t="shared" ref="Q20:Q21" si="4">ROUND(O20*P20,4)</f>
        <v>3.78E-2</v>
      </c>
      <c r="R20" s="672">
        <f t="shared" si="1"/>
        <v>0.80979999999999996</v>
      </c>
      <c r="S20" s="673">
        <f t="shared" si="2"/>
        <v>0.81</v>
      </c>
      <c r="U20" s="357"/>
      <c r="V20" s="357"/>
      <c r="W20" s="357"/>
      <c r="X20" s="357"/>
    </row>
    <row r="21" spans="1:24" ht="27.9" customHeight="1" x14ac:dyDescent="0.25">
      <c r="A21" s="674" t="s">
        <v>301</v>
      </c>
      <c r="B21" s="675">
        <v>5914374</v>
      </c>
      <c r="C21" s="676" t="s">
        <v>305</v>
      </c>
      <c r="D21" s="677" t="s">
        <v>313</v>
      </c>
      <c r="E21" s="700" t="s">
        <v>315</v>
      </c>
      <c r="F21" s="1584"/>
      <c r="G21" s="1585"/>
      <c r="H21" s="1586"/>
      <c r="I21" s="1587"/>
      <c r="J21" s="1587"/>
      <c r="K21" s="1588"/>
      <c r="L21" s="1588"/>
      <c r="M21" s="1588"/>
      <c r="N21" s="679">
        <v>311.25</v>
      </c>
      <c r="O21" s="680">
        <f>ROUND(M20/N21,4)</f>
        <v>0.61760000000000004</v>
      </c>
      <c r="P21" s="681">
        <f>ROUND([1]FIC!$F$11*[1]FIC!$H$21*[1]FIC!$H$34*[1]FIC!$L$6,5)</f>
        <v>4.8980000000000003E-2</v>
      </c>
      <c r="Q21" s="682">
        <f t="shared" si="4"/>
        <v>3.0300000000000001E-2</v>
      </c>
      <c r="R21" s="683">
        <f t="shared" si="1"/>
        <v>0.64790000000000003</v>
      </c>
      <c r="S21" s="684">
        <f t="shared" si="2"/>
        <v>0.65</v>
      </c>
    </row>
    <row r="22" spans="1:24" ht="27.9" customHeight="1" x14ac:dyDescent="0.25">
      <c r="A22" s="685" t="s">
        <v>301</v>
      </c>
      <c r="B22" s="686">
        <v>5914389</v>
      </c>
      <c r="C22" s="687" t="s">
        <v>307</v>
      </c>
      <c r="D22" s="688" t="s">
        <v>313</v>
      </c>
      <c r="E22" s="701" t="s">
        <v>316</v>
      </c>
      <c r="F22" s="1584"/>
      <c r="G22" s="1585"/>
      <c r="H22" s="1586"/>
      <c r="I22" s="1587"/>
      <c r="J22" s="1587"/>
      <c r="K22" s="1588"/>
      <c r="L22" s="1588"/>
      <c r="M22" s="1588"/>
      <c r="N22" s="690">
        <v>373.5</v>
      </c>
      <c r="O22" s="691">
        <f>ROUND(M20/N22,4)</f>
        <v>0.51470000000000005</v>
      </c>
      <c r="P22" s="692"/>
      <c r="Q22" s="693"/>
      <c r="R22" s="694">
        <f t="shared" si="1"/>
        <v>0.51470000000000005</v>
      </c>
      <c r="S22" s="695">
        <f t="shared" si="2"/>
        <v>0.51</v>
      </c>
    </row>
    <row r="23" spans="1:24" ht="27.9" customHeight="1" x14ac:dyDescent="0.25">
      <c r="A23" s="663" t="s">
        <v>301</v>
      </c>
      <c r="B23" s="664">
        <v>5914638</v>
      </c>
      <c r="C23" s="665" t="s">
        <v>302</v>
      </c>
      <c r="D23" s="666" t="s">
        <v>317</v>
      </c>
      <c r="E23" s="699" t="s">
        <v>318</v>
      </c>
      <c r="F23" s="1584" t="str">
        <f>'[1]Composições - Equipamentos'!C54</f>
        <v>Cavalo mecânico com semi-reboque e capacidade de 30 t - 240 kW (Axor 2041 - Mercedes-Benz / Randon)</v>
      </c>
      <c r="G23" s="1585" t="str">
        <f>'[1]Composições - Equipamentos'!B54</f>
        <v>E9666</v>
      </c>
      <c r="H23" s="1586">
        <v>1</v>
      </c>
      <c r="I23" s="1587">
        <v>1</v>
      </c>
      <c r="J23" s="1587">
        <v>0</v>
      </c>
      <c r="K23" s="1588">
        <f>'[1]Composições - Equipamentos'!S54</f>
        <v>272.46280000000002</v>
      </c>
      <c r="L23" s="1588">
        <f>'[1]Composições - Equipamentos'!T54</f>
        <v>83.802000000000007</v>
      </c>
      <c r="M23" s="1588">
        <f>H23*I23*K23+H23*J23*L23</f>
        <v>272.46280000000002</v>
      </c>
      <c r="N23" s="668">
        <v>494.68</v>
      </c>
      <c r="O23" s="669">
        <f>ROUND(M23/N23,4)</f>
        <v>0.55079999999999996</v>
      </c>
      <c r="P23" s="670">
        <f>ROUND([1]FIC!$F$11*[1]FIC!$H$21*[1]FIC!$H$34*[1]FIC!$L$6,5)</f>
        <v>4.8980000000000003E-2</v>
      </c>
      <c r="Q23" s="671">
        <f t="shared" ref="Q23:Q24" si="5">ROUND(O23*P23,4)</f>
        <v>2.7E-2</v>
      </c>
      <c r="R23" s="672">
        <f t="shared" si="1"/>
        <v>0.57779999999999998</v>
      </c>
      <c r="S23" s="673">
        <f t="shared" si="2"/>
        <v>0.57999999999999996</v>
      </c>
    </row>
    <row r="24" spans="1:24" ht="27.9" customHeight="1" x14ac:dyDescent="0.25">
      <c r="A24" s="674" t="s">
        <v>301</v>
      </c>
      <c r="B24" s="675">
        <v>5914639</v>
      </c>
      <c r="C24" s="676" t="s">
        <v>305</v>
      </c>
      <c r="D24" s="677" t="s">
        <v>317</v>
      </c>
      <c r="E24" s="700" t="s">
        <v>319</v>
      </c>
      <c r="F24" s="1584"/>
      <c r="G24" s="1585"/>
      <c r="H24" s="1586"/>
      <c r="I24" s="1587"/>
      <c r="J24" s="1587"/>
      <c r="K24" s="1588"/>
      <c r="L24" s="1588"/>
      <c r="M24" s="1588"/>
      <c r="N24" s="679">
        <v>618.35</v>
      </c>
      <c r="O24" s="680">
        <f>ROUND(M23/N24,4)</f>
        <v>0.44059999999999999</v>
      </c>
      <c r="P24" s="681">
        <f>ROUND([1]FIC!$F$11*[1]FIC!$H$21*[1]FIC!$H$34*[1]FIC!$L$6,5)</f>
        <v>4.8980000000000003E-2</v>
      </c>
      <c r="Q24" s="682">
        <f t="shared" si="5"/>
        <v>2.1600000000000001E-2</v>
      </c>
      <c r="R24" s="683">
        <f t="shared" si="1"/>
        <v>0.4622</v>
      </c>
      <c r="S24" s="684">
        <f t="shared" si="2"/>
        <v>0.46</v>
      </c>
    </row>
    <row r="25" spans="1:24" ht="27.9" customHeight="1" x14ac:dyDescent="0.25">
      <c r="A25" s="685" t="s">
        <v>301</v>
      </c>
      <c r="B25" s="686">
        <v>5914640</v>
      </c>
      <c r="C25" s="687" t="s">
        <v>307</v>
      </c>
      <c r="D25" s="688" t="s">
        <v>317</v>
      </c>
      <c r="E25" s="701" t="s">
        <v>320</v>
      </c>
      <c r="F25" s="1584"/>
      <c r="G25" s="1585"/>
      <c r="H25" s="1586"/>
      <c r="I25" s="1587"/>
      <c r="J25" s="1587"/>
      <c r="K25" s="1588"/>
      <c r="L25" s="1588"/>
      <c r="M25" s="1588"/>
      <c r="N25" s="690">
        <v>742.02</v>
      </c>
      <c r="O25" s="691">
        <f>ROUND(M23/N25,4)</f>
        <v>0.36720000000000003</v>
      </c>
      <c r="P25" s="692"/>
      <c r="Q25" s="693"/>
      <c r="R25" s="694">
        <f t="shared" si="1"/>
        <v>0.36720000000000003</v>
      </c>
      <c r="S25" s="695">
        <f t="shared" si="2"/>
        <v>0.37</v>
      </c>
    </row>
    <row r="26" spans="1:24" ht="27.9" customHeight="1" x14ac:dyDescent="0.25">
      <c r="A26" s="663" t="s">
        <v>301</v>
      </c>
      <c r="B26" s="664">
        <v>5915319</v>
      </c>
      <c r="C26" s="665" t="s">
        <v>302</v>
      </c>
      <c r="D26" s="666" t="s">
        <v>321</v>
      </c>
      <c r="E26" s="667" t="s">
        <v>322</v>
      </c>
      <c r="F26" s="1584" t="str">
        <f>'[1]Composições - Equipamentos'!C57</f>
        <v>Caminhão basculante com capacidade de 14 m³ - 323 kW</v>
      </c>
      <c r="G26" s="1585" t="str">
        <f>'[1]Composições - Equipamentos'!B57</f>
        <v>E9667</v>
      </c>
      <c r="H26" s="1586">
        <v>1</v>
      </c>
      <c r="I26" s="1587">
        <v>1</v>
      </c>
      <c r="J26" s="1587">
        <v>0</v>
      </c>
      <c r="K26" s="1588">
        <f>'[1]Composições - Equipamentos'!S57</f>
        <v>265.84550000000002</v>
      </c>
      <c r="L26" s="1588">
        <f>'[1]Composições - Equipamentos'!T57</f>
        <v>51.721299999999999</v>
      </c>
      <c r="M26" s="1588">
        <f>H26*I26*K26+H26*J26*L26</f>
        <v>265.84550000000002</v>
      </c>
      <c r="N26" s="668">
        <v>348.6</v>
      </c>
      <c r="O26" s="669">
        <f>ROUND(M26/N26,4)</f>
        <v>0.76259999999999994</v>
      </c>
      <c r="P26" s="670">
        <f>ROUND([1]FIC!$F$11*[1]FIC!$H$21*[1]FIC!$H$34*[1]FIC!$L$6,5)</f>
        <v>4.8980000000000003E-2</v>
      </c>
      <c r="Q26" s="671">
        <f t="shared" ref="Q26:Q27" si="6">ROUND(O26*P26,4)</f>
        <v>3.7400000000000003E-2</v>
      </c>
      <c r="R26" s="672">
        <f t="shared" si="1"/>
        <v>0.8</v>
      </c>
      <c r="S26" s="673">
        <f t="shared" si="2"/>
        <v>0.8</v>
      </c>
    </row>
    <row r="27" spans="1:24" ht="27.9" customHeight="1" x14ac:dyDescent="0.25">
      <c r="A27" s="674" t="s">
        <v>301</v>
      </c>
      <c r="B27" s="675">
        <v>5915320</v>
      </c>
      <c r="C27" s="676" t="s">
        <v>305</v>
      </c>
      <c r="D27" s="677" t="s">
        <v>321</v>
      </c>
      <c r="E27" s="678" t="s">
        <v>323</v>
      </c>
      <c r="F27" s="1584"/>
      <c r="G27" s="1585"/>
      <c r="H27" s="1586"/>
      <c r="I27" s="1587"/>
      <c r="J27" s="1587"/>
      <c r="K27" s="1588"/>
      <c r="L27" s="1588"/>
      <c r="M27" s="1588"/>
      <c r="N27" s="679">
        <v>435.75</v>
      </c>
      <c r="O27" s="680">
        <f>ROUND(M26/N27,4)</f>
        <v>0.61009999999999998</v>
      </c>
      <c r="P27" s="681">
        <f>ROUND([1]FIC!$F$11*[1]FIC!$H$21*[1]FIC!$H$34*[1]FIC!$L$6,5)</f>
        <v>4.8980000000000003E-2</v>
      </c>
      <c r="Q27" s="682">
        <f t="shared" si="6"/>
        <v>2.9899999999999999E-2</v>
      </c>
      <c r="R27" s="683">
        <f t="shared" si="1"/>
        <v>0.64</v>
      </c>
      <c r="S27" s="684">
        <f t="shared" si="2"/>
        <v>0.64</v>
      </c>
    </row>
    <row r="28" spans="1:24" ht="27.9" customHeight="1" x14ac:dyDescent="0.25">
      <c r="A28" s="685" t="s">
        <v>301</v>
      </c>
      <c r="B28" s="686">
        <v>5915321</v>
      </c>
      <c r="C28" s="687" t="s">
        <v>307</v>
      </c>
      <c r="D28" s="688" t="s">
        <v>321</v>
      </c>
      <c r="E28" s="689" t="s">
        <v>324</v>
      </c>
      <c r="F28" s="1584"/>
      <c r="G28" s="1585"/>
      <c r="H28" s="1586"/>
      <c r="I28" s="1587"/>
      <c r="J28" s="1587"/>
      <c r="K28" s="1588"/>
      <c r="L28" s="1588"/>
      <c r="M28" s="1588"/>
      <c r="N28" s="690">
        <v>552.9</v>
      </c>
      <c r="O28" s="691">
        <f>ROUND(M26/N28,4)</f>
        <v>0.48080000000000001</v>
      </c>
      <c r="P28" s="692"/>
      <c r="Q28" s="693"/>
      <c r="R28" s="694">
        <f t="shared" si="1"/>
        <v>0.48080000000000001</v>
      </c>
      <c r="S28" s="695">
        <f t="shared" si="2"/>
        <v>0.48</v>
      </c>
    </row>
    <row r="29" spans="1:24" ht="27.9" customHeight="1" x14ac:dyDescent="0.25">
      <c r="A29" s="663" t="s">
        <v>301</v>
      </c>
      <c r="B29" s="664">
        <v>5915485</v>
      </c>
      <c r="C29" s="665" t="s">
        <v>302</v>
      </c>
      <c r="D29" s="666" t="s">
        <v>325</v>
      </c>
      <c r="E29" s="667" t="s">
        <v>326</v>
      </c>
      <c r="F29" s="1584" t="str">
        <f>'[1]Composições - Equipamentos'!C60</f>
        <v>Veículo leve Pick Up 4 x 4 - 147 kW (S10 - Chevrolet 4 x 4 - Cabine Dupla)</v>
      </c>
      <c r="G29" s="1585" t="str">
        <f>'[1]Composições - Equipamentos'!B60</f>
        <v>E9684</v>
      </c>
      <c r="H29" s="1586">
        <v>1</v>
      </c>
      <c r="I29" s="1587">
        <v>1</v>
      </c>
      <c r="J29" s="1587">
        <v>0</v>
      </c>
      <c r="K29" s="1588">
        <f>'[1]Composições - Equipamentos'!S60</f>
        <v>134.80770000000001</v>
      </c>
      <c r="L29" s="1588">
        <f>'[1]Composições - Equipamentos'!T60</f>
        <v>37.881900000000002</v>
      </c>
      <c r="M29" s="1588">
        <f>H29*I29*K29+H29*J29*L29</f>
        <v>134.80770000000001</v>
      </c>
      <c r="N29" s="668">
        <v>16.600000000000001</v>
      </c>
      <c r="O29" s="669">
        <f>ROUND(M29/N29,4)</f>
        <v>8.1209000000000007</v>
      </c>
      <c r="P29" s="670">
        <f>ROUND([1]FIC!$F$11*[1]FIC!$H$21*[1]FIC!$H$34*[1]FIC!$L$6,5)</f>
        <v>4.8980000000000003E-2</v>
      </c>
      <c r="Q29" s="671">
        <f t="shared" ref="Q29:Q30" si="7">ROUND(O29*P29,4)</f>
        <v>0.39779999999999999</v>
      </c>
      <c r="R29" s="672">
        <f t="shared" si="1"/>
        <v>8.5187000000000008</v>
      </c>
      <c r="S29" s="673">
        <f t="shared" si="2"/>
        <v>8.52</v>
      </c>
    </row>
    <row r="30" spans="1:24" ht="27.9" customHeight="1" x14ac:dyDescent="0.25">
      <c r="A30" s="674" t="s">
        <v>301</v>
      </c>
      <c r="B30" s="675">
        <v>5915486</v>
      </c>
      <c r="C30" s="676" t="s">
        <v>305</v>
      </c>
      <c r="D30" s="677" t="s">
        <v>325</v>
      </c>
      <c r="E30" s="678" t="s">
        <v>327</v>
      </c>
      <c r="F30" s="1584"/>
      <c r="G30" s="1585"/>
      <c r="H30" s="1586"/>
      <c r="I30" s="1587"/>
      <c r="J30" s="1587"/>
      <c r="K30" s="1588"/>
      <c r="L30" s="1588"/>
      <c r="M30" s="1588"/>
      <c r="N30" s="679">
        <v>20.75</v>
      </c>
      <c r="O30" s="680">
        <f>ROUND(M29/N30,4)</f>
        <v>6.4968000000000004</v>
      </c>
      <c r="P30" s="681">
        <f>ROUND([1]FIC!$F$11*[1]FIC!$H$21*[1]FIC!$H$34*[1]FIC!$L$6,5)</f>
        <v>4.8980000000000003E-2</v>
      </c>
      <c r="Q30" s="682">
        <f t="shared" si="7"/>
        <v>0.31819999999999998</v>
      </c>
      <c r="R30" s="683">
        <f t="shared" si="1"/>
        <v>6.8150000000000004</v>
      </c>
      <c r="S30" s="684">
        <f t="shared" si="2"/>
        <v>6.82</v>
      </c>
    </row>
    <row r="31" spans="1:24" ht="27.9" customHeight="1" x14ac:dyDescent="0.25">
      <c r="A31" s="685" t="s">
        <v>301</v>
      </c>
      <c r="B31" s="686">
        <v>5915487</v>
      </c>
      <c r="C31" s="687" t="s">
        <v>307</v>
      </c>
      <c r="D31" s="688" t="s">
        <v>325</v>
      </c>
      <c r="E31" s="689" t="s">
        <v>328</v>
      </c>
      <c r="F31" s="1584"/>
      <c r="G31" s="1585"/>
      <c r="H31" s="1586"/>
      <c r="I31" s="1587"/>
      <c r="J31" s="1587"/>
      <c r="K31" s="1588"/>
      <c r="L31" s="1588"/>
      <c r="M31" s="1588"/>
      <c r="N31" s="690">
        <v>24.9</v>
      </c>
      <c r="O31" s="691">
        <f>ROUND(M29/N31,4)</f>
        <v>5.4139999999999997</v>
      </c>
      <c r="P31" s="692"/>
      <c r="Q31" s="693"/>
      <c r="R31" s="694">
        <f t="shared" si="1"/>
        <v>5.4139999999999997</v>
      </c>
      <c r="S31" s="695">
        <f t="shared" si="2"/>
        <v>5.41</v>
      </c>
    </row>
    <row r="32" spans="1:24" ht="35.25" customHeight="1" x14ac:dyDescent="0.25">
      <c r="A32" s="663" t="s">
        <v>301</v>
      </c>
      <c r="B32" s="664">
        <v>5914584</v>
      </c>
      <c r="C32" s="665" t="s">
        <v>302</v>
      </c>
      <c r="D32" s="666" t="s">
        <v>329</v>
      </c>
      <c r="E32" s="667" t="s">
        <v>330</v>
      </c>
      <c r="F32" s="1584" t="str">
        <f>'[1]Composições - Equipamentos'!C62</f>
        <v>Caminhão carroceria com guindauto com capacidade de 20 t.m - 136 kW</v>
      </c>
      <c r="G32" s="1585" t="str">
        <f>'[1]Composições - Equipamentos'!B62</f>
        <v>E9686</v>
      </c>
      <c r="H32" s="1586">
        <v>1</v>
      </c>
      <c r="I32" s="1587">
        <v>1</v>
      </c>
      <c r="J32" s="1587">
        <v>0</v>
      </c>
      <c r="K32" s="1588">
        <f>'[1]Composições - Equipamentos'!S62</f>
        <v>198.30850000000001</v>
      </c>
      <c r="L32" s="1588">
        <f>'[1]Composições - Equipamentos'!T62</f>
        <v>85.256</v>
      </c>
      <c r="M32" s="1588">
        <f>H32*I32*K32+H32*J32*L32</f>
        <v>198.30850000000001</v>
      </c>
      <c r="N32" s="668">
        <v>116.2</v>
      </c>
      <c r="O32" s="669">
        <f>ROUND(M32/N32,4)</f>
        <v>1.7065999999999999</v>
      </c>
      <c r="P32" s="670">
        <f>ROUND([1]FIC!$F$11*[1]FIC!$H$21*[1]FIC!$H$34*[1]FIC!$L$6,5)</f>
        <v>4.8980000000000003E-2</v>
      </c>
      <c r="Q32" s="671">
        <f t="shared" ref="Q32:Q33" si="8">ROUND(O32*P32,4)</f>
        <v>8.3599999999999994E-2</v>
      </c>
      <c r="R32" s="672">
        <f t="shared" si="1"/>
        <v>1.7902</v>
      </c>
      <c r="S32" s="673">
        <f t="shared" si="2"/>
        <v>1.79</v>
      </c>
    </row>
    <row r="33" spans="1:19" ht="36" customHeight="1" x14ac:dyDescent="0.25">
      <c r="A33" s="674" t="s">
        <v>301</v>
      </c>
      <c r="B33" s="675">
        <v>5914599</v>
      </c>
      <c r="C33" s="676" t="s">
        <v>305</v>
      </c>
      <c r="D33" s="677" t="s">
        <v>329</v>
      </c>
      <c r="E33" s="678" t="s">
        <v>331</v>
      </c>
      <c r="F33" s="1584"/>
      <c r="G33" s="1585"/>
      <c r="H33" s="1586"/>
      <c r="I33" s="1587"/>
      <c r="J33" s="1587"/>
      <c r="K33" s="1588"/>
      <c r="L33" s="1588"/>
      <c r="M33" s="1588"/>
      <c r="N33" s="679">
        <v>145.25</v>
      </c>
      <c r="O33" s="680">
        <f>ROUND(M32/N33,4)</f>
        <v>1.3653</v>
      </c>
      <c r="P33" s="681">
        <f>ROUND([1]FIC!$F$11*[1]FIC!$H$21*[1]FIC!$H$34*[1]FIC!$L$6,5)</f>
        <v>4.8980000000000003E-2</v>
      </c>
      <c r="Q33" s="682">
        <f t="shared" si="8"/>
        <v>6.6900000000000001E-2</v>
      </c>
      <c r="R33" s="683">
        <f t="shared" si="1"/>
        <v>1.4321999999999999</v>
      </c>
      <c r="S33" s="684">
        <f t="shared" si="2"/>
        <v>1.43</v>
      </c>
    </row>
    <row r="34" spans="1:19" ht="27.9" customHeight="1" x14ac:dyDescent="0.25">
      <c r="A34" s="685" t="s">
        <v>301</v>
      </c>
      <c r="B34" s="686">
        <v>5914614</v>
      </c>
      <c r="C34" s="687" t="s">
        <v>307</v>
      </c>
      <c r="D34" s="688" t="s">
        <v>329</v>
      </c>
      <c r="E34" s="689" t="s">
        <v>332</v>
      </c>
      <c r="F34" s="1584"/>
      <c r="G34" s="1585"/>
      <c r="H34" s="1586"/>
      <c r="I34" s="1587"/>
      <c r="J34" s="1587"/>
      <c r="K34" s="1588"/>
      <c r="L34" s="1588"/>
      <c r="M34" s="1588"/>
      <c r="N34" s="690">
        <v>174.3</v>
      </c>
      <c r="O34" s="691">
        <f>ROUND(M32/N34,4)</f>
        <v>1.1376999999999999</v>
      </c>
      <c r="P34" s="692"/>
      <c r="Q34" s="693"/>
      <c r="R34" s="694">
        <f t="shared" si="1"/>
        <v>1.1376999999999999</v>
      </c>
      <c r="S34" s="695">
        <f t="shared" si="2"/>
        <v>1.1399999999999999</v>
      </c>
    </row>
    <row r="35" spans="1:19" ht="27.9" customHeight="1" x14ac:dyDescent="0.25">
      <c r="A35" s="663" t="s">
        <v>301</v>
      </c>
      <c r="B35" s="664">
        <v>5915322</v>
      </c>
      <c r="C35" s="665" t="s">
        <v>302</v>
      </c>
      <c r="D35" s="666" t="s">
        <v>333</v>
      </c>
      <c r="E35" s="667" t="s">
        <v>334</v>
      </c>
      <c r="F35" s="1584" t="str">
        <f>'[1]Composições - Equipamentos'!C66</f>
        <v>Caminhão carroceria com capacidade de 5 t - 115 Kw (Accelo 815 - Mercedes-Benz</v>
      </c>
      <c r="G35" s="1585" t="str">
        <f>'[1]Composições - Equipamentos'!B66</f>
        <v>E9687</v>
      </c>
      <c r="H35" s="1586">
        <v>1</v>
      </c>
      <c r="I35" s="1587">
        <v>1</v>
      </c>
      <c r="J35" s="1587">
        <v>0</v>
      </c>
      <c r="K35" s="1588">
        <f>'[1]Composições - Equipamentos'!S66</f>
        <v>135.44540000000001</v>
      </c>
      <c r="L35" s="1588">
        <f>'[1]Composições - Equipamentos'!T66</f>
        <v>48.924700000000001</v>
      </c>
      <c r="M35" s="1588">
        <f>H35*I35*K35+H35*J35*L35</f>
        <v>135.44540000000001</v>
      </c>
      <c r="N35" s="668">
        <v>83</v>
      </c>
      <c r="O35" s="669">
        <f>ROUND(M35/N35,4)</f>
        <v>1.6318999999999999</v>
      </c>
      <c r="P35" s="670">
        <f>ROUND([1]FIC!$F$11*[1]FIC!$H$21*[1]FIC!$H$34*[1]FIC!$L$6,5)</f>
        <v>4.8980000000000003E-2</v>
      </c>
      <c r="Q35" s="671">
        <f t="shared" ref="Q35:Q36" si="9">ROUND(O35*P35,4)</f>
        <v>7.9899999999999999E-2</v>
      </c>
      <c r="R35" s="672">
        <f t="shared" si="1"/>
        <v>1.7118</v>
      </c>
      <c r="S35" s="673">
        <f t="shared" si="2"/>
        <v>1.71</v>
      </c>
    </row>
    <row r="36" spans="1:19" ht="27.9" customHeight="1" x14ac:dyDescent="0.25">
      <c r="A36" s="674" t="s">
        <v>301</v>
      </c>
      <c r="B36" s="675">
        <v>5915323</v>
      </c>
      <c r="C36" s="676" t="s">
        <v>305</v>
      </c>
      <c r="D36" s="677" t="s">
        <v>333</v>
      </c>
      <c r="E36" s="678" t="s">
        <v>335</v>
      </c>
      <c r="F36" s="1584"/>
      <c r="G36" s="1585"/>
      <c r="H36" s="1586"/>
      <c r="I36" s="1587"/>
      <c r="J36" s="1587"/>
      <c r="K36" s="1588"/>
      <c r="L36" s="1588"/>
      <c r="M36" s="1588"/>
      <c r="N36" s="679">
        <v>103.75</v>
      </c>
      <c r="O36" s="680">
        <f>ROUND(M35/N36,4)</f>
        <v>1.3055000000000001</v>
      </c>
      <c r="P36" s="681">
        <f>ROUND([1]FIC!$F$11*[1]FIC!$H$21*[1]FIC!$H$34*[1]FIC!$L$6,5)</f>
        <v>4.8980000000000003E-2</v>
      </c>
      <c r="Q36" s="682">
        <f t="shared" si="9"/>
        <v>6.3899999999999998E-2</v>
      </c>
      <c r="R36" s="683">
        <f t="shared" si="1"/>
        <v>1.3694</v>
      </c>
      <c r="S36" s="684">
        <f t="shared" si="2"/>
        <v>1.37</v>
      </c>
    </row>
    <row r="37" spans="1:19" ht="27.9" customHeight="1" x14ac:dyDescent="0.25">
      <c r="A37" s="685" t="s">
        <v>301</v>
      </c>
      <c r="B37" s="686">
        <v>5915324</v>
      </c>
      <c r="C37" s="687" t="s">
        <v>307</v>
      </c>
      <c r="D37" s="688" t="s">
        <v>333</v>
      </c>
      <c r="E37" s="689" t="s">
        <v>336</v>
      </c>
      <c r="F37" s="1584"/>
      <c r="G37" s="1585"/>
      <c r="H37" s="1586"/>
      <c r="I37" s="1587"/>
      <c r="J37" s="1587"/>
      <c r="K37" s="1588"/>
      <c r="L37" s="1588"/>
      <c r="M37" s="1588"/>
      <c r="N37" s="690">
        <v>124.5</v>
      </c>
      <c r="O37" s="691">
        <f>ROUND(M35/N37,4)</f>
        <v>1.0879000000000001</v>
      </c>
      <c r="P37" s="692"/>
      <c r="Q37" s="693"/>
      <c r="R37" s="694">
        <f t="shared" si="1"/>
        <v>1.0879000000000001</v>
      </c>
      <c r="S37" s="695">
        <f t="shared" si="2"/>
        <v>1.0900000000000001</v>
      </c>
    </row>
    <row r="38" spans="1:19" ht="27.9" customHeight="1" x14ac:dyDescent="0.25">
      <c r="A38" s="663" t="s">
        <v>301</v>
      </c>
      <c r="B38" s="664">
        <v>5914449</v>
      </c>
      <c r="C38" s="665" t="s">
        <v>302</v>
      </c>
      <c r="D38" s="666" t="s">
        <v>337</v>
      </c>
      <c r="E38" s="667" t="s">
        <v>338</v>
      </c>
      <c r="F38" s="1584" t="str">
        <f>'[1]Composições - Equipamentos'!C48</f>
        <v>Caminhão carroceria com capacidade de 15 t - 188 kW (Atego 2426 - Mercedes-Benz)</v>
      </c>
      <c r="G38" s="1585" t="str">
        <f>'[1]Composições - Equipamentos'!B48</f>
        <v>E9592</v>
      </c>
      <c r="H38" s="1586">
        <v>1</v>
      </c>
      <c r="I38" s="1587">
        <v>1</v>
      </c>
      <c r="J38" s="1587">
        <v>0</v>
      </c>
      <c r="K38" s="1588">
        <f>'[1]Composições - Equipamentos'!S48</f>
        <v>195.7038</v>
      </c>
      <c r="L38" s="1588">
        <f>'[1]Composições - Equipamentos'!T48</f>
        <v>56.065399999999997</v>
      </c>
      <c r="M38" s="1588">
        <f>H38*I38*K38+H38*J38*L38</f>
        <v>195.7038</v>
      </c>
      <c r="N38" s="668">
        <v>249</v>
      </c>
      <c r="O38" s="669">
        <f>ROUND(M38/N38,4)</f>
        <v>0.78600000000000003</v>
      </c>
      <c r="P38" s="670">
        <f>ROUND([1]FIC!$F$11*[1]FIC!$H$21*[1]FIC!$H$34*[1]FIC!$L$6,5)</f>
        <v>4.8980000000000003E-2</v>
      </c>
      <c r="Q38" s="671">
        <f t="shared" ref="Q38:Q39" si="10">ROUND(O38*P38,4)</f>
        <v>3.85E-2</v>
      </c>
      <c r="R38" s="672">
        <f t="shared" si="1"/>
        <v>0.82450000000000001</v>
      </c>
      <c r="S38" s="673">
        <f t="shared" si="2"/>
        <v>0.82</v>
      </c>
    </row>
    <row r="39" spans="1:19" ht="27.9" customHeight="1" x14ac:dyDescent="0.25">
      <c r="A39" s="674" t="s">
        <v>301</v>
      </c>
      <c r="B39" s="675">
        <v>5914464</v>
      </c>
      <c r="C39" s="676" t="s">
        <v>305</v>
      </c>
      <c r="D39" s="677" t="s">
        <v>337</v>
      </c>
      <c r="E39" s="678" t="s">
        <v>339</v>
      </c>
      <c r="F39" s="1584"/>
      <c r="G39" s="1585"/>
      <c r="H39" s="1586"/>
      <c r="I39" s="1587"/>
      <c r="J39" s="1587"/>
      <c r="K39" s="1588"/>
      <c r="L39" s="1588"/>
      <c r="M39" s="1588"/>
      <c r="N39" s="679">
        <v>311.25</v>
      </c>
      <c r="O39" s="680">
        <f>ROUND(M38/N39,4)</f>
        <v>0.62880000000000003</v>
      </c>
      <c r="P39" s="681">
        <f>ROUND([1]FIC!$F$11*[1]FIC!$H$21*[1]FIC!$H$34*[1]FIC!$L$6,5)</f>
        <v>4.8980000000000003E-2</v>
      </c>
      <c r="Q39" s="682">
        <f t="shared" si="10"/>
        <v>3.0800000000000001E-2</v>
      </c>
      <c r="R39" s="683">
        <f t="shared" si="1"/>
        <v>0.65959999999999996</v>
      </c>
      <c r="S39" s="684">
        <f t="shared" si="2"/>
        <v>0.66</v>
      </c>
    </row>
    <row r="40" spans="1:19" ht="27.9" customHeight="1" x14ac:dyDescent="0.25">
      <c r="A40" s="685" t="s">
        <v>301</v>
      </c>
      <c r="B40" s="686">
        <v>5914479</v>
      </c>
      <c r="C40" s="687" t="s">
        <v>307</v>
      </c>
      <c r="D40" s="688" t="s">
        <v>337</v>
      </c>
      <c r="E40" s="689" t="s">
        <v>340</v>
      </c>
      <c r="F40" s="1584"/>
      <c r="G40" s="1585"/>
      <c r="H40" s="1586"/>
      <c r="I40" s="1587"/>
      <c r="J40" s="1587"/>
      <c r="K40" s="1588"/>
      <c r="L40" s="1588"/>
      <c r="M40" s="1588"/>
      <c r="N40" s="690">
        <v>373.5</v>
      </c>
      <c r="O40" s="691">
        <f>ROUND(M38/N40,4)</f>
        <v>0.52400000000000002</v>
      </c>
      <c r="P40" s="692"/>
      <c r="Q40" s="693"/>
      <c r="R40" s="694">
        <f t="shared" si="1"/>
        <v>0.52400000000000002</v>
      </c>
      <c r="S40" s="695">
        <f t="shared" si="2"/>
        <v>0.52</v>
      </c>
    </row>
    <row r="41" spans="1:19" ht="8.1" customHeight="1" x14ac:dyDescent="0.25">
      <c r="A41" s="553"/>
      <c r="B41" s="554"/>
      <c r="C41" s="554"/>
      <c r="D41" s="554"/>
      <c r="E41" s="643"/>
      <c r="F41" s="643"/>
      <c r="G41" s="554"/>
      <c r="H41" s="559"/>
      <c r="I41" s="647"/>
      <c r="J41" s="647"/>
      <c r="K41" s="644"/>
      <c r="L41" s="644"/>
      <c r="M41" s="644"/>
      <c r="N41" s="644"/>
      <c r="O41" s="645"/>
      <c r="P41" s="702"/>
      <c r="Q41" s="703"/>
      <c r="R41" s="704"/>
      <c r="S41" s="648"/>
    </row>
  </sheetData>
  <sheetProtection selectLockedCells="1" selectUnlockedCells="1"/>
  <mergeCells count="89">
    <mergeCell ref="B3:C3"/>
    <mergeCell ref="D5:M5"/>
    <mergeCell ref="B8:C8"/>
    <mergeCell ref="L38:L40"/>
    <mergeCell ref="M38:M40"/>
    <mergeCell ref="F38:F40"/>
    <mergeCell ref="G38:G40"/>
    <mergeCell ref="H38:H40"/>
    <mergeCell ref="I38:I40"/>
    <mergeCell ref="J38:J40"/>
    <mergeCell ref="K38:K40"/>
    <mergeCell ref="L32:L34"/>
    <mergeCell ref="M32:M34"/>
    <mergeCell ref="F35:F37"/>
    <mergeCell ref="G35:G37"/>
    <mergeCell ref="H35:H37"/>
    <mergeCell ref="I35:I37"/>
    <mergeCell ref="J35:J37"/>
    <mergeCell ref="K35:K37"/>
    <mergeCell ref="L35:L37"/>
    <mergeCell ref="M35:M37"/>
    <mergeCell ref="F32:F34"/>
    <mergeCell ref="G32:G34"/>
    <mergeCell ref="H32:H34"/>
    <mergeCell ref="I32:I34"/>
    <mergeCell ref="J32:J34"/>
    <mergeCell ref="K32:K34"/>
    <mergeCell ref="L26:L28"/>
    <mergeCell ref="M26:M28"/>
    <mergeCell ref="F29:F31"/>
    <mergeCell ref="G29:G31"/>
    <mergeCell ref="H29:H31"/>
    <mergeCell ref="I29:I31"/>
    <mergeCell ref="J29:J31"/>
    <mergeCell ref="K29:K31"/>
    <mergeCell ref="L29:L31"/>
    <mergeCell ref="M29:M31"/>
    <mergeCell ref="F26:F28"/>
    <mergeCell ref="G26:G28"/>
    <mergeCell ref="H26:H28"/>
    <mergeCell ref="I26:I28"/>
    <mergeCell ref="J26:J28"/>
    <mergeCell ref="K26:K28"/>
    <mergeCell ref="L20:L22"/>
    <mergeCell ref="M20:M22"/>
    <mergeCell ref="F23:F25"/>
    <mergeCell ref="G23:G25"/>
    <mergeCell ref="H23:H25"/>
    <mergeCell ref="I23:I25"/>
    <mergeCell ref="J23:J25"/>
    <mergeCell ref="K23:K25"/>
    <mergeCell ref="L23:L25"/>
    <mergeCell ref="M23:M25"/>
    <mergeCell ref="F20:F22"/>
    <mergeCell ref="G20:G22"/>
    <mergeCell ref="H20:H22"/>
    <mergeCell ref="I20:I22"/>
    <mergeCell ref="J20:J22"/>
    <mergeCell ref="K20:K22"/>
    <mergeCell ref="K14:K16"/>
    <mergeCell ref="L14:L16"/>
    <mergeCell ref="M14:M16"/>
    <mergeCell ref="F17:F19"/>
    <mergeCell ref="G17:G19"/>
    <mergeCell ref="H17:H19"/>
    <mergeCell ref="I17:I19"/>
    <mergeCell ref="J17:J19"/>
    <mergeCell ref="K17:K19"/>
    <mergeCell ref="L17:L19"/>
    <mergeCell ref="M17:M19"/>
    <mergeCell ref="F14:F16"/>
    <mergeCell ref="G14:G16"/>
    <mergeCell ref="H14:H16"/>
    <mergeCell ref="I14:I16"/>
    <mergeCell ref="J14:J16"/>
    <mergeCell ref="A11:E11"/>
    <mergeCell ref="F11:H11"/>
    <mergeCell ref="I11:J11"/>
    <mergeCell ref="K11:L11"/>
    <mergeCell ref="M11:M12"/>
    <mergeCell ref="N11:N12"/>
    <mergeCell ref="O11:O12"/>
    <mergeCell ref="P11:Q11"/>
    <mergeCell ref="R11:R12"/>
    <mergeCell ref="S11:S12"/>
    <mergeCell ref="A12:B12"/>
    <mergeCell ref="D12:E12"/>
    <mergeCell ref="F12:G12"/>
    <mergeCell ref="A10:S10"/>
  </mergeCells>
  <printOptions horizontalCentered="1" verticalCentered="1"/>
  <pageMargins left="0.25" right="0.25" top="0.75" bottom="0.75" header="0.3" footer="0.3"/>
  <pageSetup paperSize="9" scale="59" firstPageNumber="0" fitToHeight="0" orientation="landscape" horizontalDpi="300" verticalDpi="300" r:id="rId1"/>
  <headerFooter alignWithMargins="0">
    <oddHeader>&amp;C&amp;"Times New Roman,Normal"&amp;12&amp;G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73"/>
  <sheetViews>
    <sheetView view="pageBreakPreview" topLeftCell="A90" zoomScale="80" zoomScaleNormal="80" zoomScaleSheetLayoutView="80" workbookViewId="0">
      <selection activeCell="D3" sqref="D3"/>
    </sheetView>
  </sheetViews>
  <sheetFormatPr defaultColWidth="9" defaultRowHeight="13.2" x14ac:dyDescent="0.25"/>
  <cols>
    <col min="1" max="1" width="3.77734375" style="349" customWidth="1"/>
    <col min="2" max="2" width="6.5546875" style="349" customWidth="1"/>
    <col min="3" max="3" width="17.6640625" style="349" customWidth="1"/>
    <col min="4" max="6" width="10.6640625" style="349" customWidth="1"/>
    <col min="7" max="8" width="11.77734375" style="349" customWidth="1"/>
    <col min="9" max="9" width="13.77734375" style="349" customWidth="1"/>
    <col min="10" max="10" width="13.109375" style="349" customWidth="1"/>
    <col min="11" max="11" width="7.6640625" style="350" customWidth="1"/>
    <col min="12" max="12" width="12.5546875" style="349" customWidth="1"/>
    <col min="13" max="13" width="13" style="349" customWidth="1"/>
    <col min="14" max="14" width="14.6640625" style="349" customWidth="1"/>
    <col min="15" max="16" width="9.21875" style="349" customWidth="1"/>
    <col min="17" max="17" width="14.33203125" style="349" customWidth="1"/>
    <col min="18" max="18" width="9.21875" style="349" customWidth="1"/>
    <col min="19" max="19" width="14.109375" style="349" customWidth="1"/>
    <col min="20" max="255" width="9.21875" style="349" customWidth="1"/>
  </cols>
  <sheetData>
    <row r="1" spans="1:15" ht="18.899999999999999" customHeight="1" x14ac:dyDescent="0.25">
      <c r="A1" s="1787"/>
      <c r="B1" s="1787"/>
      <c r="C1" s="1796" t="s">
        <v>710</v>
      </c>
      <c r="D1" s="1795" t="s">
        <v>711</v>
      </c>
      <c r="E1" s="1788"/>
      <c r="F1" s="1788"/>
      <c r="G1" s="1788"/>
      <c r="H1" s="1788"/>
      <c r="I1" s="1788"/>
      <c r="J1" s="1788"/>
      <c r="K1" s="1788"/>
      <c r="L1" s="1785"/>
      <c r="M1" s="1785"/>
      <c r="N1" s="1785"/>
    </row>
    <row r="2" spans="1:15" ht="14.4" customHeight="1" x14ac:dyDescent="0.25">
      <c r="C2" s="1796" t="s">
        <v>712</v>
      </c>
      <c r="D2" s="1795" t="s">
        <v>713</v>
      </c>
      <c r="E2" s="1789"/>
      <c r="F2" s="1789"/>
      <c r="G2" s="1789"/>
      <c r="H2" s="1789"/>
      <c r="I2" s="1789"/>
      <c r="J2" s="1789"/>
      <c r="K2" s="1789"/>
      <c r="L2" s="354"/>
      <c r="M2" s="354"/>
      <c r="N2" s="354"/>
    </row>
    <row r="3" spans="1:15" ht="15.6" x14ac:dyDescent="0.25">
      <c r="C3" s="1796" t="s">
        <v>719</v>
      </c>
      <c r="D3" s="1789" t="s">
        <v>721</v>
      </c>
      <c r="E3" s="1789"/>
      <c r="F3" s="1790"/>
      <c r="G3" s="1790"/>
      <c r="H3" s="1789"/>
      <c r="I3" s="1789"/>
      <c r="J3" s="1789"/>
      <c r="K3" s="1789"/>
      <c r="L3" s="351"/>
      <c r="M3" s="351"/>
      <c r="N3" s="351"/>
    </row>
    <row r="4" spans="1:15" ht="13.8" customHeight="1" x14ac:dyDescent="0.25">
      <c r="C4" s="1797" t="s">
        <v>720</v>
      </c>
      <c r="D4" s="1789" t="s">
        <v>722</v>
      </c>
      <c r="E4" s="1789"/>
      <c r="F4" s="1790"/>
      <c r="G4" s="1790"/>
      <c r="H4" s="1789"/>
      <c r="I4" s="1789"/>
      <c r="J4" s="1789"/>
      <c r="K4" s="1789"/>
      <c r="L4" s="355"/>
      <c r="M4" s="355"/>
      <c r="N4" s="355"/>
    </row>
    <row r="5" spans="1:15" ht="42" customHeight="1" x14ac:dyDescent="0.25">
      <c r="C5" s="1796" t="s">
        <v>715</v>
      </c>
      <c r="D5" s="1800" t="s">
        <v>723</v>
      </c>
      <c r="E5" s="1800"/>
      <c r="F5" s="1800"/>
      <c r="G5" s="1800"/>
      <c r="H5" s="1800"/>
      <c r="I5" s="1800"/>
      <c r="J5" s="1800"/>
      <c r="K5" s="1800"/>
      <c r="L5" s="1800"/>
      <c r="M5" s="1800"/>
      <c r="N5" s="1800"/>
    </row>
    <row r="6" spans="1:15" ht="20.25" customHeight="1" x14ac:dyDescent="0.25">
      <c r="C6" s="1796" t="s">
        <v>716</v>
      </c>
      <c r="D6" s="1789" t="s">
        <v>724</v>
      </c>
      <c r="E6" s="1789"/>
      <c r="F6" s="1789"/>
      <c r="G6" s="1789"/>
      <c r="H6" s="1789"/>
      <c r="I6" s="1789"/>
      <c r="J6" s="1789"/>
      <c r="K6" s="1789"/>
      <c r="L6" s="1785"/>
      <c r="M6" s="1785"/>
      <c r="N6" s="1785"/>
      <c r="O6" s="2"/>
    </row>
    <row r="7" spans="1:15" ht="17.399999999999999" customHeight="1" x14ac:dyDescent="0.25">
      <c r="C7" s="1798" t="s">
        <v>717</v>
      </c>
      <c r="D7" s="1792">
        <v>0.25569999999999998</v>
      </c>
      <c r="E7" s="1789"/>
      <c r="F7" s="1789"/>
      <c r="G7" s="1789"/>
      <c r="H7" s="1789"/>
      <c r="I7" s="1789"/>
      <c r="J7" s="1789"/>
      <c r="K7" s="1789"/>
      <c r="L7" s="354"/>
      <c r="M7" s="354"/>
      <c r="N7" s="354"/>
    </row>
    <row r="8" spans="1:15" ht="20.100000000000001" customHeight="1" x14ac:dyDescent="0.25">
      <c r="C8" s="1799" t="s">
        <v>718</v>
      </c>
      <c r="D8" s="1789" t="s">
        <v>725</v>
      </c>
      <c r="E8" s="1789"/>
      <c r="F8" s="1789"/>
      <c r="G8" s="1789"/>
      <c r="H8" s="1789"/>
      <c r="I8" s="1789"/>
      <c r="J8" s="1789"/>
      <c r="K8" s="1789"/>
      <c r="L8" s="356"/>
      <c r="M8" s="356"/>
      <c r="N8" s="356"/>
    </row>
    <row r="9" spans="1:15" ht="10.199999999999999" customHeight="1" x14ac:dyDescent="0.25">
      <c r="C9" s="1799"/>
      <c r="D9" s="1789"/>
      <c r="E9" s="1789"/>
      <c r="F9" s="1789"/>
      <c r="G9" s="1789"/>
      <c r="H9" s="1789"/>
      <c r="I9" s="1789"/>
      <c r="J9" s="1789"/>
      <c r="K9" s="1789"/>
      <c r="L9" s="356"/>
      <c r="M9" s="356"/>
      <c r="N9" s="356"/>
    </row>
    <row r="10" spans="1:15" ht="20.100000000000001" customHeight="1" thickBot="1" x14ac:dyDescent="0.3">
      <c r="A10" s="1801" t="s">
        <v>726</v>
      </c>
      <c r="B10" s="1801"/>
      <c r="C10" s="1801"/>
      <c r="D10" s="1801"/>
      <c r="E10" s="1801"/>
      <c r="F10" s="1801"/>
      <c r="G10" s="1801"/>
      <c r="H10" s="1801"/>
      <c r="I10" s="1801"/>
      <c r="J10" s="1801"/>
      <c r="K10" s="1801"/>
      <c r="L10" s="1801"/>
      <c r="M10" s="1801"/>
      <c r="N10" s="1801"/>
    </row>
    <row r="11" spans="1:15" s="360" customFormat="1" ht="45" customHeight="1" thickTop="1" thickBot="1" x14ac:dyDescent="0.3">
      <c r="A11" s="1527" t="s">
        <v>162</v>
      </c>
      <c r="B11" s="1527"/>
      <c r="C11" s="1527"/>
      <c r="D11" s="1527"/>
      <c r="E11" s="1527"/>
      <c r="F11" s="1527"/>
      <c r="G11" s="1527"/>
      <c r="H11" s="1527"/>
      <c r="I11" s="1527"/>
      <c r="J11" s="1527"/>
      <c r="K11" s="358" t="s">
        <v>163</v>
      </c>
      <c r="L11" s="358" t="s">
        <v>164</v>
      </c>
      <c r="M11" s="359" t="s">
        <v>165</v>
      </c>
      <c r="N11" s="358" t="s">
        <v>166</v>
      </c>
    </row>
    <row r="12" spans="1:15" s="367" customFormat="1" ht="9.9" customHeight="1" x14ac:dyDescent="0.25">
      <c r="A12" s="361"/>
      <c r="B12" s="362"/>
      <c r="C12" s="363"/>
      <c r="D12" s="363"/>
      <c r="E12" s="364"/>
      <c r="F12" s="364"/>
      <c r="G12" s="363"/>
      <c r="H12" s="365"/>
      <c r="I12" s="365"/>
      <c r="J12" s="365"/>
      <c r="K12" s="365"/>
      <c r="L12" s="365"/>
      <c r="M12" s="365"/>
      <c r="N12" s="366"/>
    </row>
    <row r="13" spans="1:15" s="375" customFormat="1" ht="18" customHeight="1" x14ac:dyDescent="0.2">
      <c r="A13" s="368" t="s">
        <v>167</v>
      </c>
      <c r="B13" s="369" t="s">
        <v>168</v>
      </c>
      <c r="C13" s="369"/>
      <c r="D13" s="369"/>
      <c r="E13" s="369"/>
      <c r="F13" s="369"/>
      <c r="G13" s="369"/>
      <c r="H13" s="369"/>
      <c r="I13" s="369"/>
      <c r="J13" s="369"/>
      <c r="K13" s="370"/>
      <c r="L13" s="371"/>
      <c r="M13" s="372"/>
      <c r="N13" s="373">
        <f>SUM(N14:N19)</f>
        <v>14676.870000000003</v>
      </c>
      <c r="O13" s="374"/>
    </row>
    <row r="14" spans="1:15" ht="14.25" customHeight="1" x14ac:dyDescent="0.25">
      <c r="A14" s="376"/>
      <c r="B14" s="377" t="str">
        <f>'[1]1.1-Mobil'!L7</f>
        <v>1.1</v>
      </c>
      <c r="C14" s="378" t="str">
        <f>'[1]1.1-Mobil'!E18</f>
        <v>Mobilização e desmobilização de pessoal, máquinas e equipamentos</v>
      </c>
      <c r="D14" s="378"/>
      <c r="E14" s="378"/>
      <c r="F14" s="378"/>
      <c r="G14" s="378"/>
      <c r="H14" s="378"/>
      <c r="I14" s="378"/>
      <c r="J14" s="378"/>
      <c r="K14" s="379" t="str">
        <f>'[1]1.1-Mobil'!L18</f>
        <v xml:space="preserve">un </v>
      </c>
      <c r="L14" s="380">
        <v>1</v>
      </c>
      <c r="M14" s="381">
        <f>'1.1'!L112</f>
        <v>5319.43</v>
      </c>
      <c r="N14" s="382">
        <f t="shared" ref="N14:N18" si="0">ROUND(L14*M14,2)</f>
        <v>5319.43</v>
      </c>
    </row>
    <row r="15" spans="1:15" ht="18" hidden="1" customHeight="1" x14ac:dyDescent="0.25">
      <c r="A15" s="376"/>
      <c r="B15" s="383" t="str">
        <f>'[1]1.2-Exec.Canteiro'!L7</f>
        <v>1.2</v>
      </c>
      <c r="C15" s="378" t="str">
        <f>'[1]1.2-Exec.Canteiro'!E18</f>
        <v>Abrigo provisório de madeira executado na obra para alojamento e depósito de materiais e ferramentas</v>
      </c>
      <c r="D15" s="378"/>
      <c r="E15" s="378"/>
      <c r="F15" s="378"/>
      <c r="G15" s="378"/>
      <c r="H15" s="378"/>
      <c r="I15" s="378"/>
      <c r="J15" s="378"/>
      <c r="K15" s="384" t="str">
        <f>'[1]1.2-Exec.Canteiro'!L18</f>
        <v>m²</v>
      </c>
      <c r="L15" s="380">
        <v>0</v>
      </c>
      <c r="M15" s="385">
        <f>'[1]1.2-Exec.Canteiro'!L86</f>
        <v>546.58000000000004</v>
      </c>
      <c r="N15" s="386">
        <f t="shared" si="0"/>
        <v>0</v>
      </c>
    </row>
    <row r="16" spans="1:15" ht="13.5" customHeight="1" x14ac:dyDescent="0.25">
      <c r="A16" s="387"/>
      <c r="B16" s="383" t="s">
        <v>169</v>
      </c>
      <c r="C16" s="378" t="str">
        <f>'[1]1.3-Canteiro.Aloj'!E18</f>
        <v>Instalações de campo e alojamento.</v>
      </c>
      <c r="D16" s="378"/>
      <c r="E16" s="378"/>
      <c r="F16" s="378"/>
      <c r="G16" s="378"/>
      <c r="H16" s="378"/>
      <c r="I16" s="378"/>
      <c r="J16" s="378"/>
      <c r="K16" s="384" t="str">
        <f>'[1]1.3-Canteiro.Aloj'!L18</f>
        <v>mês</v>
      </c>
      <c r="L16" s="386">
        <f>IF(L15&gt;0,0,IF([1]Cronograma!$E$6&gt;0,[1]Cronograma!$E$6/30,0))</f>
        <v>4</v>
      </c>
      <c r="M16" s="385">
        <f>'1.2'!L61</f>
        <v>1704.64</v>
      </c>
      <c r="N16" s="386">
        <f t="shared" si="0"/>
        <v>6818.56</v>
      </c>
    </row>
    <row r="17" spans="1:15" ht="13.5" customHeight="1" x14ac:dyDescent="0.25">
      <c r="A17" s="387"/>
      <c r="B17" s="383" t="s">
        <v>170</v>
      </c>
      <c r="C17" s="378" t="str">
        <f>'[1]1.4-Placa.Obra'!E18</f>
        <v>Placa de obra em chapa de aço galvanizado, no tamanho de (2,00 m x 3,20 m)</v>
      </c>
      <c r="D17" s="388"/>
      <c r="E17" s="388"/>
      <c r="F17" s="388"/>
      <c r="G17" s="388"/>
      <c r="H17" s="388"/>
      <c r="I17" s="388"/>
      <c r="J17" s="389"/>
      <c r="K17" s="384" t="str">
        <f>'[1]1.4-Placa.Obra'!L18</f>
        <v>m²</v>
      </c>
      <c r="L17" s="380">
        <v>6.4</v>
      </c>
      <c r="M17" s="385">
        <f>'1.3'!L62</f>
        <v>396.7</v>
      </c>
      <c r="N17" s="386">
        <f t="shared" si="0"/>
        <v>2538.88</v>
      </c>
      <c r="O17" s="357"/>
    </row>
    <row r="18" spans="1:15" ht="18" hidden="1" customHeight="1" x14ac:dyDescent="0.25">
      <c r="A18" s="387"/>
      <c r="B18" s="383" t="str">
        <f>'[1]1.5-Comp.'!L7</f>
        <v>1.5</v>
      </c>
      <c r="C18" s="378" t="e">
        <f>'[1]1.5-Comp.'!E18</f>
        <v>#REF!</v>
      </c>
      <c r="D18" s="388"/>
      <c r="E18" s="388"/>
      <c r="F18" s="388"/>
      <c r="G18" s="388"/>
      <c r="H18" s="388"/>
      <c r="I18" s="388"/>
      <c r="J18" s="389"/>
      <c r="K18" s="384" t="e">
        <f>'[1]1.5-Comp.'!L18</f>
        <v>#REF!</v>
      </c>
      <c r="L18" s="380"/>
      <c r="M18" s="385">
        <f>'[1]1.5-Comp.'!L69</f>
        <v>0</v>
      </c>
      <c r="N18" s="386">
        <f t="shared" si="0"/>
        <v>0</v>
      </c>
      <c r="O18" s="357"/>
    </row>
    <row r="19" spans="1:15" ht="9.9" customHeight="1" x14ac:dyDescent="0.25">
      <c r="A19" s="390"/>
      <c r="B19" s="391"/>
      <c r="C19" s="392"/>
      <c r="D19" s="392"/>
      <c r="E19" s="393"/>
      <c r="F19" s="393"/>
      <c r="G19" s="392"/>
      <c r="H19" s="394"/>
      <c r="I19" s="394"/>
      <c r="J19" s="394"/>
      <c r="K19" s="394"/>
      <c r="L19" s="394"/>
      <c r="M19" s="394"/>
      <c r="N19" s="395"/>
      <c r="O19" s="357"/>
    </row>
    <row r="20" spans="1:15" ht="18" customHeight="1" x14ac:dyDescent="0.25">
      <c r="A20" s="368" t="s">
        <v>171</v>
      </c>
      <c r="B20" s="369" t="s">
        <v>172</v>
      </c>
      <c r="C20" s="369"/>
      <c r="D20" s="369"/>
      <c r="E20" s="369"/>
      <c r="F20" s="369"/>
      <c r="G20" s="369"/>
      <c r="H20" s="369"/>
      <c r="I20" s="369"/>
      <c r="J20" s="369"/>
      <c r="K20" s="370"/>
      <c r="L20" s="371"/>
      <c r="M20" s="372"/>
      <c r="N20" s="373">
        <f>SUM(N21:N35)</f>
        <v>7296.44</v>
      </c>
      <c r="O20" s="357"/>
    </row>
    <row r="21" spans="1:15" ht="65.099999999999994" customHeight="1" x14ac:dyDescent="0.25">
      <c r="A21" s="387"/>
      <c r="B21" s="383" t="str">
        <f>'[1]2.1-Licenc.'!L7</f>
        <v>2.1</v>
      </c>
      <c r="C21" s="1526" t="str">
        <f>'[1]2.1-Licenc.'!E18</f>
        <v>Elaboração de estudos ambientais simplificados para complementação das estradas vicinais e uso de jazidas de materiais lateríticos e do Plano de Recuperação de Área Degradada - PRAD, objetivando a exploração de jazidas e sua posterior recuperação ambienta</v>
      </c>
      <c r="D21" s="1526"/>
      <c r="E21" s="1526"/>
      <c r="F21" s="1526"/>
      <c r="G21" s="1526"/>
      <c r="H21" s="1526"/>
      <c r="I21" s="1526"/>
      <c r="J21" s="1526"/>
      <c r="K21" s="384" t="str">
        <f>'[1]2.1-Licenc.'!L18</f>
        <v>km</v>
      </c>
      <c r="L21" s="380">
        <v>13.1</v>
      </c>
      <c r="M21" s="396">
        <f>'2.1'!L57</f>
        <v>556.98</v>
      </c>
      <c r="N21" s="386">
        <f t="shared" ref="N21:N34" si="1">ROUND(L21*M21,2)</f>
        <v>7296.44</v>
      </c>
      <c r="O21" s="397"/>
    </row>
    <row r="22" spans="1:15" ht="75" hidden="1" customHeight="1" x14ac:dyDescent="0.25">
      <c r="A22" s="387"/>
      <c r="B22" s="383" t="str">
        <f>'[1]2.2-Proj Exec'!L7</f>
        <v>2.2</v>
      </c>
      <c r="C22" s="1526" t="str">
        <f>'[1]2.2-Proj Exec'!E18</f>
        <v>Elaboração de projeto de estradas vicinais (contemplando serviços de locação e levantamento do eixo da estrada, nivelamento do terreno natural, lançamento da linha de greide, perfil longitudinal, seções transversais, expedição de notas de serviços, locaçã</v>
      </c>
      <c r="D22" s="1526"/>
      <c r="E22" s="1526"/>
      <c r="F22" s="1526"/>
      <c r="G22" s="1526"/>
      <c r="H22" s="1526"/>
      <c r="I22" s="1526"/>
      <c r="J22" s="1526"/>
      <c r="K22" s="384" t="str">
        <f>'[1]2.2-Proj Exec'!L18</f>
        <v>km</v>
      </c>
      <c r="L22" s="380"/>
      <c r="M22" s="396">
        <f>'[1]2.2-Proj Exec'!L63</f>
        <v>4426.43</v>
      </c>
      <c r="N22" s="386">
        <f t="shared" si="1"/>
        <v>0</v>
      </c>
      <c r="O22" s="397"/>
    </row>
    <row r="23" spans="1:15" ht="15" hidden="1" customHeight="1" x14ac:dyDescent="0.25">
      <c r="A23" s="398"/>
      <c r="B23" s="1528" t="str">
        <f>'[1]2.3-Proj Ponte CA'!L7</f>
        <v>2.3</v>
      </c>
      <c r="C23" s="1529" t="str">
        <f>'[1]2.3-Proj Ponte CA'!E18</f>
        <v>Elaboração de projeto estrutural de ponte em concreto armado (incluso o dimensionamento da fundação; não contempla a sondagem, a topografia e o estudo hidrológico). Verificar os índices das taxas dessa composição.</v>
      </c>
      <c r="D23" s="1529"/>
      <c r="E23" s="1529"/>
      <c r="F23" s="1529"/>
      <c r="G23" s="1529"/>
      <c r="H23" s="1530" t="s">
        <v>173</v>
      </c>
      <c r="I23" s="1530"/>
      <c r="J23" s="400">
        <v>10</v>
      </c>
      <c r="K23" s="384" t="str">
        <f>'[1]2.3-Proj Ponte CA'!L18</f>
        <v>m²</v>
      </c>
      <c r="L23" s="380">
        <v>0</v>
      </c>
      <c r="M23" s="385">
        <f>IF(J23&lt;=32,'[1]2.3-Proj Ponte CA'!H52,IF(J23&lt;=64,'[1]2.3-Proj Ponte CA'!H53-'[1]2.3-Proj Ponte CA'!F53*ORÇAMENTÁRIA!J23,IF(ORÇAMENTÁRIA!J23&lt;=128,'[1]2.3-Proj Ponte CA'!H54-'[1]2.3-Proj Ponte CA'!F54*ORÇAMENTÁRIA!J23,IF(ORÇAMENTÁRIA!J23&lt;=256,'[1]2.3-Proj Ponte CA'!H55-'[1]2.3-Proj Ponte CA'!F55*ORÇAMENTÁRIA!J23,IF(ORÇAMENTÁRIA!J23&lt;512,'[1]2.3-Proj Ponte CA'!H56-'[1]2.3-Proj Ponte CA'!F56*ORÇAMENTÁRIA!J23,IF(ORÇAMENTÁRIA!J23&lt;=1024,'[1]2.3-Proj Ponte CA'!H57-'[1]2.3-Proj Ponte CA'!F57*ORÇAMENTÁRIA!J23,"ERRO"))))))</f>
        <v>38.238908681013498</v>
      </c>
      <c r="N23" s="386">
        <f t="shared" si="1"/>
        <v>0</v>
      </c>
      <c r="O23" s="397"/>
    </row>
    <row r="24" spans="1:15" ht="15" hidden="1" customHeight="1" x14ac:dyDescent="0.25">
      <c r="A24" s="401"/>
      <c r="B24" s="1528"/>
      <c r="C24" s="1529"/>
      <c r="D24" s="1529"/>
      <c r="E24" s="1529"/>
      <c r="F24" s="1529"/>
      <c r="G24" s="1529"/>
      <c r="H24" s="1530" t="s">
        <v>174</v>
      </c>
      <c r="I24" s="1530"/>
      <c r="J24" s="400">
        <v>50</v>
      </c>
      <c r="K24" s="384" t="str">
        <f>'[1]2.3-Proj Ponte CA'!L18</f>
        <v>m²</v>
      </c>
      <c r="L24" s="380"/>
      <c r="M24" s="385">
        <f>IF(J24&lt;=32,'[1]2.3-Proj Ponte CA'!H52,IF(J24&lt;=64,'[1]2.3-Proj Ponte CA'!H53-'[1]2.3-Proj Ponte CA'!F53*ORÇAMENTÁRIA!J24,IF(ORÇAMENTÁRIA!J24&lt;=128,'[1]2.3-Proj Ponte CA'!H54-'[1]2.3-Proj Ponte CA'!F54*ORÇAMENTÁRIA!J24,IF(ORÇAMENTÁRIA!J24&lt;=256,'[1]2.3-Proj Ponte CA'!H55-'[1]2.3-Proj Ponte CA'!F55*ORÇAMENTÁRIA!J24,IF(ORÇAMENTÁRIA!J24&lt;512,'[1]2.3-Proj Ponte CA'!H56-'[1]2.3-Proj Ponte CA'!F56*ORÇAMENTÁRIA!J24,IF(ORÇAMENTÁRIA!J24&lt;=1024,'[1]2.3-Proj Ponte CA'!H57-'[1]2.3-Proj Ponte CA'!F57*ORÇAMENTÁRIA!J24,"ERRO"))))))</f>
        <v>36.798908681013501</v>
      </c>
      <c r="N24" s="386">
        <f t="shared" si="1"/>
        <v>0</v>
      </c>
      <c r="O24" s="397"/>
    </row>
    <row r="25" spans="1:15" ht="15" hidden="1" customHeight="1" x14ac:dyDescent="0.25">
      <c r="A25" s="401"/>
      <c r="B25" s="1528"/>
      <c r="C25" s="1529"/>
      <c r="D25" s="1529"/>
      <c r="E25" s="1529"/>
      <c r="F25" s="1529"/>
      <c r="G25" s="1529"/>
      <c r="H25" s="1530" t="s">
        <v>175</v>
      </c>
      <c r="I25" s="1530"/>
      <c r="J25" s="400">
        <v>200</v>
      </c>
      <c r="K25" s="384" t="str">
        <f>'[1]2.3-Proj Ponte CA'!L18</f>
        <v>m²</v>
      </c>
      <c r="L25" s="380"/>
      <c r="M25" s="385">
        <f>IF(J25&lt;=32,'[1]2.3-Proj Ponte CA'!H52,IF(J25&lt;=64,'[1]2.3-Proj Ponte CA'!H53-'[1]2.3-Proj Ponte CA'!F53*ORÇAMENTÁRIA!J25,IF(ORÇAMENTÁRIA!J25&lt;=128,'[1]2.3-Proj Ponte CA'!H54-'[1]2.3-Proj Ponte CA'!F54*ORÇAMENTÁRIA!J25,IF(ORÇAMENTÁRIA!J25&lt;=256,'[1]2.3-Proj Ponte CA'!H55-'[1]2.3-Proj Ponte CA'!F55*ORÇAMENTÁRIA!J25,IF(ORÇAMENTÁRIA!J25&lt;512,'[1]2.3-Proj Ponte CA'!H56-'[1]2.3-Proj Ponte CA'!F56*ORÇAMENTÁRIA!J25,IF(ORÇAMENTÁRIA!J25&lt;=1024,'[1]2.3-Proj Ponte CA'!H57-'[1]2.3-Proj Ponte CA'!F57*ORÇAMENTÁRIA!J25,"ERRO"))))))</f>
        <v>32.182908681013501</v>
      </c>
      <c r="N25" s="386">
        <f t="shared" si="1"/>
        <v>0</v>
      </c>
      <c r="O25" s="397"/>
    </row>
    <row r="26" spans="1:15" ht="15" hidden="1" customHeight="1" x14ac:dyDescent="0.25">
      <c r="A26" s="376"/>
      <c r="B26" s="1528"/>
      <c r="C26" s="1529"/>
      <c r="D26" s="1529"/>
      <c r="E26" s="1529"/>
      <c r="F26" s="1529"/>
      <c r="G26" s="1529"/>
      <c r="H26" s="1530" t="s">
        <v>176</v>
      </c>
      <c r="I26" s="1530"/>
      <c r="J26" s="400">
        <v>1000</v>
      </c>
      <c r="K26" s="384" t="str">
        <f>'[1]2.3-Proj Ponte CA'!L18</f>
        <v>m²</v>
      </c>
      <c r="L26" s="380"/>
      <c r="M26" s="385">
        <f>IF(J26&lt;=32,'[1]2.3-Proj Ponte CA'!H52,IF(J26&lt;=64,'[1]2.3-Proj Ponte CA'!H53-'[1]2.3-Proj Ponte CA'!F53*ORÇAMENTÁRIA!J26,IF(ORÇAMENTÁRIA!J26&lt;=128,'[1]2.3-Proj Ponte CA'!H54-'[1]2.3-Proj Ponte CA'!F54*ORÇAMENTÁRIA!J26,IF(ORÇAMENTÁRIA!J26&lt;=256,'[1]2.3-Proj Ponte CA'!H55-'[1]2.3-Proj Ponte CA'!F55*ORÇAMENTÁRIA!J26,IF(ORÇAMENTÁRIA!J26&lt;512,'[1]2.3-Proj Ponte CA'!H56-'[1]2.3-Proj Ponte CA'!F56*ORÇAMENTÁRIA!J26,IF(ORÇAMENTÁRIA!J26&lt;=1024,'[1]2.3-Proj Ponte CA'!H57-'[1]2.3-Proj Ponte CA'!F57*ORÇAMENTÁRIA!J26,"ERRO"))))))</f>
        <v>27.454908681013499</v>
      </c>
      <c r="N26" s="386">
        <f t="shared" si="1"/>
        <v>0</v>
      </c>
      <c r="O26" s="397"/>
    </row>
    <row r="27" spans="1:15" ht="18" hidden="1" customHeight="1" x14ac:dyDescent="0.25">
      <c r="A27" s="387"/>
      <c r="B27" s="383" t="str">
        <f>'[1]2.4-Sondagem 1ª cat'!L7</f>
        <v>2.4</v>
      </c>
      <c r="C27" s="399" t="str">
        <f>'[1]2.4-Sondagem 1ª cat'!E18</f>
        <v>Serviços geotécnicos (sondagem) em material de 1ª categoria</v>
      </c>
      <c r="D27" s="388"/>
      <c r="E27" s="388"/>
      <c r="F27" s="388"/>
      <c r="G27" s="388"/>
      <c r="H27" s="388"/>
      <c r="I27" s="388"/>
      <c r="J27" s="389"/>
      <c r="K27" s="384" t="str">
        <f>'[1]2.4-Sondagem 1ª cat'!L18</f>
        <v>m</v>
      </c>
      <c r="L27" s="380"/>
      <c r="M27" s="385">
        <f>'[1]2.4-Sondagem 1ª cat'!L69</f>
        <v>378.26</v>
      </c>
      <c r="N27" s="386">
        <f t="shared" si="1"/>
        <v>0</v>
      </c>
      <c r="O27" s="397"/>
    </row>
    <row r="28" spans="1:15" ht="18" hidden="1" customHeight="1" x14ac:dyDescent="0.25">
      <c r="A28" s="387"/>
      <c r="B28" s="383" t="str">
        <f>'[1]2.5-Sondagem 2ª cat'!L7</f>
        <v>2.5</v>
      </c>
      <c r="C28" s="399" t="str">
        <f>'[1]2.5-Sondagem 2ª cat'!E18</f>
        <v>Serviços geotécnicos (sondagem) em material de 2ª categoria</v>
      </c>
      <c r="D28" s="388"/>
      <c r="E28" s="388"/>
      <c r="F28" s="388"/>
      <c r="G28" s="388"/>
      <c r="H28" s="388"/>
      <c r="I28" s="388"/>
      <c r="J28" s="389"/>
      <c r="K28" s="384" t="str">
        <f>'[1]2.5-Sondagem 2ª cat'!L18</f>
        <v>m</v>
      </c>
      <c r="L28" s="380"/>
      <c r="M28" s="385">
        <f>'[1]2.5-Sondagem 2ª cat'!L69</f>
        <v>586.37</v>
      </c>
      <c r="N28" s="386">
        <f t="shared" si="1"/>
        <v>0</v>
      </c>
      <c r="O28" s="397"/>
    </row>
    <row r="29" spans="1:15" ht="18" hidden="1" customHeight="1" x14ac:dyDescent="0.25">
      <c r="A29" s="387"/>
      <c r="B29" s="383" t="str">
        <f>'[1]2.6-Sondagem 3ª cat'!L7</f>
        <v>2.6</v>
      </c>
      <c r="C29" s="402" t="str">
        <f>'[1]2.6-Sondagem 3ª cat'!E18</f>
        <v>Serviços geotécnicos (sondagem) em material de 3ª categoria</v>
      </c>
      <c r="D29" s="388"/>
      <c r="E29" s="388"/>
      <c r="F29" s="388"/>
      <c r="G29" s="388"/>
      <c r="H29" s="388"/>
      <c r="I29" s="388"/>
      <c r="J29" s="389"/>
      <c r="K29" s="384" t="str">
        <f>'[1]2.6-Sondagem 3ª cat'!L18</f>
        <v>m</v>
      </c>
      <c r="L29" s="380"/>
      <c r="M29" s="385">
        <f>'[1]2.6-Sondagem 3ª cat'!L69</f>
        <v>508.14</v>
      </c>
      <c r="N29" s="386">
        <f t="shared" si="1"/>
        <v>0</v>
      </c>
    </row>
    <row r="30" spans="1:15" ht="18" hidden="1" customHeight="1" x14ac:dyDescent="0.25">
      <c r="A30" s="387"/>
      <c r="B30" s="383" t="str">
        <f>'[1]2.7-Hidrologia Pontes'!L7</f>
        <v>2.7</v>
      </c>
      <c r="C30" s="402" t="str">
        <f>'[1]2.7-Hidrologia Pontes'!E18</f>
        <v>Hidrologia e projeto hidráulico de pontes. (Verificar os índices das taxas dessa composição).</v>
      </c>
      <c r="D30" s="388"/>
      <c r="E30" s="388"/>
      <c r="F30" s="388"/>
      <c r="G30" s="388"/>
      <c r="H30" s="388"/>
      <c r="I30" s="388"/>
      <c r="J30" s="389"/>
      <c r="K30" s="384" t="str">
        <f>'[1]2.7-Hidrologia Pontes'!L18</f>
        <v>un</v>
      </c>
      <c r="L30" s="380"/>
      <c r="M30" s="385">
        <f>'[1]2.7-Hidrologia Pontes'!L52</f>
        <v>6844.66</v>
      </c>
      <c r="N30" s="386">
        <f t="shared" si="1"/>
        <v>0</v>
      </c>
    </row>
    <row r="31" spans="1:15" ht="18" hidden="1" customHeight="1" x14ac:dyDescent="0.25">
      <c r="A31" s="387"/>
      <c r="B31" s="383" t="str">
        <f>'[1]2.8-Topografia Pontes'!L7</f>
        <v>2.8</v>
      </c>
      <c r="C31" s="402" t="str">
        <f>'[1]2.8-Topografia Pontes'!E18</f>
        <v>Levantamento topográfico para elaboração de projeto de ponte. (Verificar os índices das taxas dessa composição).</v>
      </c>
      <c r="D31" s="388"/>
      <c r="E31" s="388"/>
      <c r="F31" s="388"/>
      <c r="G31" s="388"/>
      <c r="H31" s="388"/>
      <c r="I31" s="388"/>
      <c r="J31" s="389"/>
      <c r="K31" s="384" t="str">
        <f>'[1]2.8-Topografia Pontes'!L18</f>
        <v>ha</v>
      </c>
      <c r="L31" s="380"/>
      <c r="M31" s="385">
        <f>'[1]2.8-Topografia Pontes'!L67</f>
        <v>2112.91</v>
      </c>
      <c r="N31" s="386">
        <f t="shared" si="1"/>
        <v>0</v>
      </c>
    </row>
    <row r="32" spans="1:15" ht="18" hidden="1" customHeight="1" x14ac:dyDescent="0.25">
      <c r="A32" s="387"/>
      <c r="B32" s="383" t="str">
        <f>'[1]2.9-Comp'!L7</f>
        <v>2.9</v>
      </c>
      <c r="C32" s="403" t="e">
        <f>'[1]2.9-Comp'!E18</f>
        <v>#REF!</v>
      </c>
      <c r="D32" s="388"/>
      <c r="E32" s="388"/>
      <c r="F32" s="388"/>
      <c r="G32" s="388"/>
      <c r="H32" s="388"/>
      <c r="I32" s="388"/>
      <c r="J32" s="389"/>
      <c r="K32" s="404" t="e">
        <f>'[1]2.9-Comp'!L18</f>
        <v>#REF!</v>
      </c>
      <c r="L32" s="380"/>
      <c r="M32" s="385">
        <f>'[1]2.9-Comp'!L69</f>
        <v>0</v>
      </c>
      <c r="N32" s="386">
        <f t="shared" si="1"/>
        <v>0</v>
      </c>
    </row>
    <row r="33" spans="1:14" ht="18" hidden="1" customHeight="1" x14ac:dyDescent="0.25">
      <c r="A33" s="387"/>
      <c r="B33" s="383" t="str">
        <f>'[1]2.10-Comp'!L7</f>
        <v>2.10</v>
      </c>
      <c r="C33" s="403" t="e">
        <f>'[1]2.10-Comp'!E18</f>
        <v>#REF!</v>
      </c>
      <c r="D33" s="388"/>
      <c r="E33" s="388"/>
      <c r="F33" s="388"/>
      <c r="G33" s="388"/>
      <c r="H33" s="388"/>
      <c r="I33" s="388"/>
      <c r="J33" s="405"/>
      <c r="K33" s="404" t="e">
        <f>'[1]2.10-Comp'!L18</f>
        <v>#REF!</v>
      </c>
      <c r="L33" s="380"/>
      <c r="M33" s="385">
        <f>'[1]2.10-Comp'!L69</f>
        <v>0</v>
      </c>
      <c r="N33" s="386">
        <f t="shared" si="1"/>
        <v>0</v>
      </c>
    </row>
    <row r="34" spans="1:14" ht="18" hidden="1" customHeight="1" x14ac:dyDescent="0.25">
      <c r="A34" s="387"/>
      <c r="B34" s="383" t="str">
        <f>'[1]2.11-Comp '!L7</f>
        <v>2.11</v>
      </c>
      <c r="C34" s="403" t="e">
        <f>'[1]2.11-Comp '!E18</f>
        <v>#REF!</v>
      </c>
      <c r="D34" s="388"/>
      <c r="E34" s="388"/>
      <c r="F34" s="388"/>
      <c r="G34" s="388"/>
      <c r="H34" s="388"/>
      <c r="I34" s="388"/>
      <c r="J34" s="405"/>
      <c r="K34" s="404" t="e">
        <f>'[1]2.11-Comp '!L18</f>
        <v>#REF!</v>
      </c>
      <c r="L34" s="380"/>
      <c r="M34" s="385">
        <f>'[1]2.11-Comp '!L69</f>
        <v>0</v>
      </c>
      <c r="N34" s="386">
        <f t="shared" si="1"/>
        <v>0</v>
      </c>
    </row>
    <row r="35" spans="1:14" ht="9.9" customHeight="1" x14ac:dyDescent="0.25">
      <c r="A35" s="390"/>
      <c r="B35" s="391"/>
      <c r="C35" s="392"/>
      <c r="D35" s="392"/>
      <c r="E35" s="393"/>
      <c r="F35" s="393"/>
      <c r="G35" s="392"/>
      <c r="H35" s="394"/>
      <c r="I35" s="394"/>
      <c r="J35" s="394"/>
      <c r="K35" s="394"/>
      <c r="L35" s="394"/>
      <c r="M35" s="394"/>
      <c r="N35" s="395"/>
    </row>
    <row r="36" spans="1:14" ht="18" customHeight="1" x14ac:dyDescent="0.25">
      <c r="A36" s="368" t="s">
        <v>177</v>
      </c>
      <c r="B36" s="369" t="s">
        <v>178</v>
      </c>
      <c r="C36" s="369"/>
      <c r="D36" s="369"/>
      <c r="E36" s="369"/>
      <c r="F36" s="369"/>
      <c r="G36" s="369"/>
      <c r="H36" s="369"/>
      <c r="I36" s="369"/>
      <c r="J36" s="369"/>
      <c r="K36" s="370"/>
      <c r="L36" s="371"/>
      <c r="M36" s="372"/>
      <c r="N36" s="373">
        <f>SUM(N37:N39)</f>
        <v>87143.679999999993</v>
      </c>
    </row>
    <row r="37" spans="1:14" ht="18" customHeight="1" x14ac:dyDescent="0.25">
      <c r="A37" s="387"/>
      <c r="B37" s="383" t="str">
        <f>'[1]3.1-Adm. Local'!L7</f>
        <v>3.1</v>
      </c>
      <c r="C37" s="378" t="str">
        <f>'[1]3.1-Adm. Local'!E18</f>
        <v>Administração Local</v>
      </c>
      <c r="D37" s="378"/>
      <c r="E37" s="378"/>
      <c r="F37" s="378"/>
      <c r="G37" s="378"/>
      <c r="H37" s="378"/>
      <c r="I37" s="378"/>
      <c r="J37" s="378"/>
      <c r="K37" s="384" t="str">
        <f>'[1]3.1-Adm. Local'!L18</f>
        <v>mês</v>
      </c>
      <c r="L37" s="386">
        <f>IF([1]Cronograma!$E$6&gt;0,[1]Cronograma!$E$6/30,0)</f>
        <v>4</v>
      </c>
      <c r="M37" s="385">
        <f>'3.1'!L58</f>
        <v>21785.919999999998</v>
      </c>
      <c r="N37" s="386">
        <f t="shared" ref="N37:N38" si="2">ROUND(L37*M37,2)</f>
        <v>87143.679999999993</v>
      </c>
    </row>
    <row r="38" spans="1:14" ht="18" hidden="1" customHeight="1" x14ac:dyDescent="0.25">
      <c r="A38" s="387"/>
      <c r="B38" s="383" t="str">
        <f>'[1]3.2-Comp.'!L7</f>
        <v>3.2</v>
      </c>
      <c r="C38" s="378" t="e">
        <f>'[1]3.2-Comp.'!E18</f>
        <v>#REF!</v>
      </c>
      <c r="D38" s="378"/>
      <c r="E38" s="378"/>
      <c r="F38" s="378"/>
      <c r="G38" s="378"/>
      <c r="H38" s="378"/>
      <c r="I38" s="378"/>
      <c r="J38" s="378"/>
      <c r="K38" s="384" t="e">
        <f>'[1]3.2-Comp.'!L18</f>
        <v>#REF!</v>
      </c>
      <c r="L38" s="380">
        <f>IF([1]Cronograma!$E$6&gt;0,[1]Cronograma!$E$6/30,0)</f>
        <v>4</v>
      </c>
      <c r="M38" s="385">
        <f>'[1]3.2-Comp.'!L69</f>
        <v>0</v>
      </c>
      <c r="N38" s="386">
        <f t="shared" si="2"/>
        <v>0</v>
      </c>
    </row>
    <row r="39" spans="1:14" ht="9.9" customHeight="1" x14ac:dyDescent="0.25">
      <c r="A39" s="401"/>
      <c r="B39" s="406"/>
      <c r="C39" s="407"/>
      <c r="D39" s="407"/>
      <c r="E39" s="407"/>
      <c r="F39" s="407"/>
      <c r="G39" s="407"/>
      <c r="H39" s="407"/>
      <c r="I39" s="407"/>
      <c r="J39" s="407"/>
      <c r="K39" s="408"/>
      <c r="L39" s="409"/>
      <c r="M39" s="410"/>
      <c r="N39" s="411"/>
    </row>
    <row r="40" spans="1:14" ht="18" customHeight="1" x14ac:dyDescent="0.25">
      <c r="A40" s="368" t="s">
        <v>179</v>
      </c>
      <c r="B40" s="369" t="s">
        <v>180</v>
      </c>
      <c r="C40" s="369"/>
      <c r="D40" s="369"/>
      <c r="E40" s="369"/>
      <c r="F40" s="369"/>
      <c r="G40" s="369"/>
      <c r="H40" s="369"/>
      <c r="I40" s="369"/>
      <c r="J40" s="412"/>
      <c r="K40" s="413"/>
      <c r="L40" s="413"/>
      <c r="M40" s="414"/>
      <c r="N40" s="415">
        <f>SUM(N41:N49)</f>
        <v>33798</v>
      </c>
    </row>
    <row r="41" spans="1:14" ht="18" customHeight="1" x14ac:dyDescent="0.25">
      <c r="A41" s="376"/>
      <c r="B41" s="377" t="str">
        <f>'[1]4.1-Desmat. e Limpeza'!L7</f>
        <v>4.1</v>
      </c>
      <c r="C41" s="378" t="str">
        <f>'[1]4.1-Desmat. e Limpeza'!E18</f>
        <v>Desmatamento e limpeza mecanizada de terreno com remoção de camada vegetal, utilizando trator esteiras</v>
      </c>
      <c r="D41" s="378"/>
      <c r="E41" s="378"/>
      <c r="F41" s="378"/>
      <c r="G41" s="378"/>
      <c r="H41" s="378"/>
      <c r="I41" s="378"/>
      <c r="J41" s="416"/>
      <c r="K41" s="379" t="str">
        <f>'[1]4.1-Desmat. e Limpeza'!L18</f>
        <v>m²</v>
      </c>
      <c r="L41" s="386">
        <f>ROUND('[1]Nota de serviço'!P28*1000*'[1]Nota de serviço'!E122,2)</f>
        <v>117900</v>
      </c>
      <c r="M41" s="417">
        <f>'4.1'!L58</f>
        <v>0.2</v>
      </c>
      <c r="N41" s="382">
        <f t="shared" ref="N41:N48" si="3">ROUND(L41*M41,2)</f>
        <v>23580</v>
      </c>
    </row>
    <row r="42" spans="1:14" ht="18" customHeight="1" x14ac:dyDescent="0.25">
      <c r="A42" s="376"/>
      <c r="B42" s="377" t="str">
        <f>'[1]4.2-Desmat. 0.15'!L7</f>
        <v>4.2</v>
      </c>
      <c r="C42" s="378" t="str">
        <f>'[1]4.2-Desmat. 0.15'!E18</f>
        <v>Desmatamento,  destocamento e limpeza em áreas com árvores de diâmetro até 0,15 m</v>
      </c>
      <c r="D42" s="378"/>
      <c r="E42" s="378"/>
      <c r="F42" s="378"/>
      <c r="G42" s="378"/>
      <c r="H42" s="378"/>
      <c r="I42" s="378"/>
      <c r="J42" s="416"/>
      <c r="K42" s="379" t="str">
        <f>'[1]4.2-Desmat. 0.15'!L18</f>
        <v>m²</v>
      </c>
      <c r="L42" s="386">
        <f>ROUND('[1]Nota de serviço'!P28*1000*'[1]Nota de serviço'!E123,2)</f>
        <v>39300</v>
      </c>
      <c r="M42" s="417">
        <f>'4.2'!L58</f>
        <v>0.26</v>
      </c>
      <c r="N42" s="382">
        <f t="shared" si="3"/>
        <v>10218</v>
      </c>
    </row>
    <row r="43" spans="1:14" ht="18" hidden="1" customHeight="1" x14ac:dyDescent="0.25">
      <c r="A43" s="387"/>
      <c r="B43" s="383" t="str">
        <f>'[1]4.3-Desmat.Maior 0.15'!L7</f>
        <v>4.3</v>
      </c>
      <c r="C43" s="388" t="str">
        <f>'[1]4.3-Desmat.Maior 0.15'!E18</f>
        <v>Desmatamento,  destocamento e limpeza em áreas com árvores de diâmetro maiores que 0,15 m</v>
      </c>
      <c r="D43" s="388"/>
      <c r="E43" s="388"/>
      <c r="F43" s="388"/>
      <c r="G43" s="388"/>
      <c r="H43" s="388"/>
      <c r="I43" s="388"/>
      <c r="J43" s="389"/>
      <c r="K43" s="384" t="str">
        <f>'[1]4.3-Desmat.Maior 0.15'!L18</f>
        <v>m²</v>
      </c>
      <c r="L43" s="386">
        <f>ROUND('[1]Nota de serviço'!P28*1000*'[1]Nota de serviço'!E124,2)</f>
        <v>0</v>
      </c>
      <c r="M43" s="418">
        <f>'[1]4.3-Desmat.Maior 0.15'!L66</f>
        <v>0.59</v>
      </c>
      <c r="N43" s="386">
        <f t="shared" si="3"/>
        <v>0</v>
      </c>
    </row>
    <row r="44" spans="1:14" ht="18" hidden="1" customHeight="1" x14ac:dyDescent="0.25">
      <c r="A44" s="387"/>
      <c r="B44" s="383" t="str">
        <f>'[1]4.4-Destoc. 0.15 a 0.30'!L7</f>
        <v>4.4</v>
      </c>
      <c r="C44" s="388" t="str">
        <f>'[1]4.4-Destoc. 0.15 a 0.30'!E18</f>
        <v>Destocamento de árvores com diâmetros entre 0,15 a 0,30 m</v>
      </c>
      <c r="D44" s="388"/>
      <c r="E44" s="388"/>
      <c r="F44" s="388"/>
      <c r="G44" s="388"/>
      <c r="H44" s="388"/>
      <c r="I44" s="388"/>
      <c r="J44" s="405"/>
      <c r="K44" s="384" t="str">
        <f>'[1]4.4-Destoc. 0.15 a 0.30'!L18</f>
        <v xml:space="preserve">un </v>
      </c>
      <c r="L44" s="380"/>
      <c r="M44" s="385">
        <f>'[1]4.4-Destoc. 0.15 a 0.30'!L66</f>
        <v>23.4</v>
      </c>
      <c r="N44" s="386">
        <f t="shared" si="3"/>
        <v>0</v>
      </c>
    </row>
    <row r="45" spans="1:14" ht="18" hidden="1" customHeight="1" x14ac:dyDescent="0.25">
      <c r="A45" s="387"/>
      <c r="B45" s="383" t="str">
        <f>'[1]4.5-Destoc.Maior 0.30'!L7</f>
        <v>4.5</v>
      </c>
      <c r="C45" s="388" t="str">
        <f>'[1]4.5-Destoc.Maior 0.30'!E18</f>
        <v>Destocamento de árvores com diâmetro superior a 0,30 m</v>
      </c>
      <c r="D45" s="388"/>
      <c r="E45" s="388"/>
      <c r="F45" s="388"/>
      <c r="G45" s="388"/>
      <c r="H45" s="388"/>
      <c r="I45" s="388"/>
      <c r="J45" s="405"/>
      <c r="K45" s="384" t="str">
        <f>'[1]4.5-Destoc.Maior 0.30'!L18</f>
        <v xml:space="preserve">un </v>
      </c>
      <c r="L45" s="380"/>
      <c r="M45" s="385">
        <f>'[1]4.5-Destoc.Maior 0.30'!L66</f>
        <v>75.02</v>
      </c>
      <c r="N45" s="386">
        <f t="shared" si="3"/>
        <v>0</v>
      </c>
    </row>
    <row r="46" spans="1:14" ht="18" hidden="1" customHeight="1" x14ac:dyDescent="0.25">
      <c r="A46" s="387"/>
      <c r="B46" s="383" t="str">
        <f>'[1]4.6-Comp'!L7</f>
        <v>4.6</v>
      </c>
      <c r="C46" s="419" t="e">
        <f>'[1]4.6-Comp'!E18</f>
        <v>#REF!</v>
      </c>
      <c r="D46" s="388"/>
      <c r="E46" s="388"/>
      <c r="F46" s="388"/>
      <c r="G46" s="388"/>
      <c r="H46" s="388"/>
      <c r="I46" s="388"/>
      <c r="J46" s="420"/>
      <c r="K46" s="421"/>
      <c r="L46" s="380"/>
      <c r="M46" s="385">
        <f>'[1]4.6-Comp'!L69</f>
        <v>0</v>
      </c>
      <c r="N46" s="386">
        <f t="shared" si="3"/>
        <v>0</v>
      </c>
    </row>
    <row r="47" spans="1:14" ht="18" hidden="1" customHeight="1" x14ac:dyDescent="0.25">
      <c r="A47" s="387"/>
      <c r="B47" s="383" t="str">
        <f>'[1]4.7-Comp'!L7</f>
        <v>4.7</v>
      </c>
      <c r="C47" s="419" t="e">
        <f>'[1]4.7-Comp'!E18</f>
        <v>#REF!</v>
      </c>
      <c r="D47" s="388"/>
      <c r="E47" s="388"/>
      <c r="F47" s="388"/>
      <c r="G47" s="388"/>
      <c r="H47" s="388"/>
      <c r="I47" s="388"/>
      <c r="J47" s="420"/>
      <c r="K47" s="421"/>
      <c r="L47" s="380"/>
      <c r="M47" s="385">
        <f>'[1]4.7-Comp'!L69</f>
        <v>0</v>
      </c>
      <c r="N47" s="386">
        <f t="shared" si="3"/>
        <v>0</v>
      </c>
    </row>
    <row r="48" spans="1:14" ht="18" hidden="1" customHeight="1" x14ac:dyDescent="0.25">
      <c r="A48" s="387"/>
      <c r="B48" s="383" t="str">
        <f>'[1]4.8-Comp'!L7</f>
        <v>4.8</v>
      </c>
      <c r="C48" s="419" t="e">
        <f>'[1]4.8-Comp'!E18</f>
        <v>#REF!</v>
      </c>
      <c r="D48" s="388"/>
      <c r="E48" s="388"/>
      <c r="F48" s="388"/>
      <c r="G48" s="388"/>
      <c r="H48" s="388"/>
      <c r="I48" s="388"/>
      <c r="J48" s="420"/>
      <c r="K48" s="421"/>
      <c r="L48" s="380"/>
      <c r="M48" s="385">
        <f>'[1]4.8-Comp'!L69</f>
        <v>0</v>
      </c>
      <c r="N48" s="386">
        <f t="shared" si="3"/>
        <v>0</v>
      </c>
    </row>
    <row r="49" spans="1:15" ht="9.9" customHeight="1" x14ac:dyDescent="0.25">
      <c r="A49" s="401"/>
      <c r="B49" s="406"/>
      <c r="C49" s="407"/>
      <c r="D49" s="407"/>
      <c r="E49" s="407"/>
      <c r="F49" s="407"/>
      <c r="G49" s="407"/>
      <c r="H49" s="407"/>
      <c r="I49" s="407"/>
      <c r="J49" s="407"/>
      <c r="K49" s="408"/>
      <c r="L49" s="409"/>
      <c r="M49" s="410"/>
      <c r="N49" s="411"/>
    </row>
    <row r="50" spans="1:15" ht="18" customHeight="1" x14ac:dyDescent="0.25">
      <c r="A50" s="368" t="s">
        <v>181</v>
      </c>
      <c r="B50" s="369" t="s">
        <v>182</v>
      </c>
      <c r="C50" s="369"/>
      <c r="D50" s="369"/>
      <c r="E50" s="369"/>
      <c r="F50" s="369"/>
      <c r="G50" s="369"/>
      <c r="H50" s="369"/>
      <c r="I50" s="369"/>
      <c r="J50" s="422"/>
      <c r="K50" s="370"/>
      <c r="L50" s="370"/>
      <c r="M50" s="423"/>
      <c r="N50" s="373">
        <f>SUM(N51:N78)</f>
        <v>518198.99920000002</v>
      </c>
    </row>
    <row r="51" spans="1:15" ht="18" customHeight="1" x14ac:dyDescent="0.25">
      <c r="A51" s="376"/>
      <c r="B51" s="377" t="str">
        <f>'[1]5.1-ECT-50m'!L7</f>
        <v>5.1</v>
      </c>
      <c r="C51" s="378" t="str">
        <f>'[1]5.1-ECT-50m'!E18</f>
        <v>Escavação, carga e transporte de material  de 1ª categoria (DMT ≤ 50 m), inclusive seção padrão</v>
      </c>
      <c r="D51" s="378"/>
      <c r="E51" s="378"/>
      <c r="F51" s="378"/>
      <c r="G51" s="378"/>
      <c r="H51" s="378"/>
      <c r="I51" s="378"/>
      <c r="J51" s="424"/>
      <c r="K51" s="379" t="str">
        <f>'[1]5.1-ECT-50m'!L18</f>
        <v>m³</v>
      </c>
      <c r="L51" s="382">
        <f>ROUND('[1]Nota de serviço'!N111+'[1]Nota de serviço'!N112,2)</f>
        <v>6184.78</v>
      </c>
      <c r="M51" s="417">
        <f>'5.1'!L54</f>
        <v>1.64</v>
      </c>
      <c r="N51" s="382">
        <f>L51*M51</f>
        <v>10143.039199999999</v>
      </c>
    </row>
    <row r="52" spans="1:15" ht="27.9" customHeight="1" x14ac:dyDescent="0.25">
      <c r="A52" s="387"/>
      <c r="B52" s="383" t="str">
        <f>'[1]5.2-ECT-50-200m'!L7</f>
        <v>5.2</v>
      </c>
      <c r="C52" s="1526" t="str">
        <f>'[1]5.2-ECT-50-200m'!E18</f>
        <v>Escavação, carga e transporte de material de 1ª categoria - DMT de 50 a 200 m - caminho de serviço em leito natural - com escavadeira e caminhão basculante de 14 m³</v>
      </c>
      <c r="D52" s="1526"/>
      <c r="E52" s="1526"/>
      <c r="F52" s="1526"/>
      <c r="G52" s="1526"/>
      <c r="H52" s="1526"/>
      <c r="I52" s="1526"/>
      <c r="J52" s="1526"/>
      <c r="K52" s="384" t="str">
        <f>'[1]5.2-ECT-50-200m'!L18</f>
        <v>m³</v>
      </c>
      <c r="L52" s="382">
        <f>ROUND('[1]Nota de serviço'!N113,2)</f>
        <v>45693</v>
      </c>
      <c r="M52" s="385">
        <f>'5.2'!L54</f>
        <v>6.01</v>
      </c>
      <c r="N52" s="386">
        <f t="shared" ref="N52:N61" si="4">ROUND(L52*M52,2)</f>
        <v>274614.93</v>
      </c>
    </row>
    <row r="53" spans="1:15" ht="27.9" hidden="1" customHeight="1" x14ac:dyDescent="0.25">
      <c r="A53" s="387"/>
      <c r="B53" s="383" t="str">
        <f>'[1]5.3-ECT-200-400m'!L7</f>
        <v>5.3</v>
      </c>
      <c r="C53" s="1526" t="str">
        <f>'[1]5.3-ECT-200-400m'!E18</f>
        <v>Escavação, carga e transporte de material de 1ª categoria - DMT de 200 a 400 m - caminho de serviço em leito natural - com escavadeira e caminhão basculante de 14 m³</v>
      </c>
      <c r="D53" s="1526"/>
      <c r="E53" s="1526"/>
      <c r="F53" s="1526"/>
      <c r="G53" s="1526"/>
      <c r="H53" s="1526"/>
      <c r="I53" s="1526"/>
      <c r="J53" s="1526"/>
      <c r="K53" s="384" t="str">
        <f>'[1]5.3-ECT-200-400m'!L18</f>
        <v>m³</v>
      </c>
      <c r="L53" s="382">
        <f>ROUND('[1]Nota de serviço'!N114,2)</f>
        <v>0</v>
      </c>
      <c r="M53" s="385">
        <f>'[1]5.3-ECT-200-400m'!L65</f>
        <v>6.91</v>
      </c>
      <c r="N53" s="386">
        <f t="shared" si="4"/>
        <v>0</v>
      </c>
    </row>
    <row r="54" spans="1:15" ht="27.9" hidden="1" customHeight="1" x14ac:dyDescent="0.25">
      <c r="A54" s="387"/>
      <c r="B54" s="383" t="str">
        <f>'[1]5.4-ECT-400-600m'!L7</f>
        <v>5.4</v>
      </c>
      <c r="C54" s="1526" t="str">
        <f>'[1]5.4-ECT-400-600m'!E18</f>
        <v>Escavação, carga e transporte de material de 1ª categoria - DMT de 400 a 600 m - caminho de serviço em leito natural - com escavadeira e caminhão basculante de 14 m³</v>
      </c>
      <c r="D54" s="1526"/>
      <c r="E54" s="1526"/>
      <c r="F54" s="1526"/>
      <c r="G54" s="1526"/>
      <c r="H54" s="1526"/>
      <c r="I54" s="1526"/>
      <c r="J54" s="1526"/>
      <c r="K54" s="384" t="str">
        <f>'[1]5.4-ECT-400-600m'!L18</f>
        <v>m³</v>
      </c>
      <c r="L54" s="382">
        <f>ROUND('[1]Nota de serviço'!N115,2)</f>
        <v>0</v>
      </c>
      <c r="M54" s="385">
        <f>'[1]5.4-ECT-400-600m'!L66</f>
        <v>7.37</v>
      </c>
      <c r="N54" s="386">
        <f t="shared" si="4"/>
        <v>0</v>
      </c>
    </row>
    <row r="55" spans="1:15" ht="27.9" hidden="1" customHeight="1" x14ac:dyDescent="0.25">
      <c r="A55" s="387"/>
      <c r="B55" s="383" t="str">
        <f>'[1]5.5-ECT-600-800m'!L7</f>
        <v>5.5</v>
      </c>
      <c r="C55" s="1526" t="str">
        <f>'[1]5.5-ECT-600-800m'!E18</f>
        <v>Escavação, carga e transporte de material de 1ª categoria - DMT de 600 a 800 m - caminho de serviço em leito natural - com escavadeira e caminhão basculante de 14 m³</v>
      </c>
      <c r="D55" s="1526"/>
      <c r="E55" s="1526"/>
      <c r="F55" s="1526"/>
      <c r="G55" s="1526"/>
      <c r="H55" s="1526"/>
      <c r="I55" s="1526"/>
      <c r="J55" s="1526"/>
      <c r="K55" s="384" t="str">
        <f>'[1]5.5-ECT-600-800m'!L18</f>
        <v>m³</v>
      </c>
      <c r="L55" s="382">
        <f>ROUND('[1]Nota de serviço'!N116,2)</f>
        <v>0</v>
      </c>
      <c r="M55" s="385">
        <f>'[1]5.5-ECT-600-800m'!L66</f>
        <v>8.11</v>
      </c>
      <c r="N55" s="386">
        <f t="shared" si="4"/>
        <v>0</v>
      </c>
    </row>
    <row r="56" spans="1:15" ht="27.9" hidden="1" customHeight="1" x14ac:dyDescent="0.25">
      <c r="A56" s="387"/>
      <c r="B56" s="383" t="str">
        <f>'[1]5.6-ECT-800-1000m'!L7</f>
        <v>5.6</v>
      </c>
      <c r="C56" s="1526" t="str">
        <f>'[1]5.6-ECT-800-1000m'!E18</f>
        <v>Escavação, carga e transporte de material de 1ª categoria - DMT de 800 a 1.000 m - caminho de serviço em leito natural - com escavadeira e caminhão basculante de 14 m³</v>
      </c>
      <c r="D56" s="1526"/>
      <c r="E56" s="1526"/>
      <c r="F56" s="1526"/>
      <c r="G56" s="1526"/>
      <c r="H56" s="1526"/>
      <c r="I56" s="1526"/>
      <c r="J56" s="1526"/>
      <c r="K56" s="384" t="str">
        <f>'[1]5.6-ECT-800-1000m'!L18</f>
        <v>m³</v>
      </c>
      <c r="L56" s="382">
        <f>ROUND('[1]Nota de serviço'!N117,2)</f>
        <v>0</v>
      </c>
      <c r="M56" s="385">
        <f>'[1]5.6-ECT-800-1000m'!L66</f>
        <v>8.49</v>
      </c>
      <c r="N56" s="386">
        <f t="shared" si="4"/>
        <v>0</v>
      </c>
    </row>
    <row r="57" spans="1:15" ht="18" hidden="1" customHeight="1" x14ac:dyDescent="0.25">
      <c r="A57" s="387"/>
      <c r="B57" s="383" t="str">
        <f>'[1]5.7-Esc.Carga 2a'!L7</f>
        <v>5.7</v>
      </c>
      <c r="C57" s="388" t="str">
        <f>'[1]5.7-Esc.Carga 2a'!E18</f>
        <v>Escavação, carga e transporte de material  de 2ª categoria (DMT ≤ 50 m)</v>
      </c>
      <c r="D57" s="388"/>
      <c r="E57" s="388"/>
      <c r="F57" s="388"/>
      <c r="G57" s="388"/>
      <c r="H57" s="388"/>
      <c r="I57" s="388"/>
      <c r="J57" s="405"/>
      <c r="K57" s="384" t="str">
        <f>'[1]5.7-Esc.Carga 2a'!L18</f>
        <v>m³</v>
      </c>
      <c r="L57" s="382">
        <f>ROUND('[1]Nota de serviço'!N119,2)</f>
        <v>0</v>
      </c>
      <c r="M57" s="385">
        <f>'[1]5.7-Esc.Carga 2a'!L66</f>
        <v>4.3499999999999996</v>
      </c>
      <c r="N57" s="386">
        <f t="shared" si="4"/>
        <v>0</v>
      </c>
    </row>
    <row r="58" spans="1:15" ht="27.9" hidden="1" customHeight="1" x14ac:dyDescent="0.25">
      <c r="A58" s="387"/>
      <c r="B58" s="383" t="str">
        <f>'[1]5.8-Esc.Carga 2a 50-200'!L7</f>
        <v>5.8</v>
      </c>
      <c r="C58" s="1526" t="str">
        <f>'[1]5.8-Esc.Carga 2a 50-200'!E18</f>
        <v>Escavação, carga e transporte de material de 2ª categoria - DMT de 50 a 200 m - caminho de serviço em leito natural - com escavadeira e caminhão basculante de 14 m³</v>
      </c>
      <c r="D58" s="1526"/>
      <c r="E58" s="1526"/>
      <c r="F58" s="1526"/>
      <c r="G58" s="1526"/>
      <c r="H58" s="1526"/>
      <c r="I58" s="1526"/>
      <c r="J58" s="1526"/>
      <c r="K58" s="384" t="str">
        <f>'[1]5.8-Esc.Carga 2a 50-200'!L18</f>
        <v>m³</v>
      </c>
      <c r="L58" s="382">
        <f>ROUND('[1]Nota de serviço'!N120,2)</f>
        <v>0</v>
      </c>
      <c r="M58" s="385">
        <f>'[1]5.8-Esc.Carga 2a 50-200'!L66</f>
        <v>8.25</v>
      </c>
      <c r="N58" s="386">
        <f t="shared" si="4"/>
        <v>0</v>
      </c>
    </row>
    <row r="59" spans="1:15" ht="18" hidden="1" customHeight="1" x14ac:dyDescent="0.25">
      <c r="A59" s="387"/>
      <c r="B59" s="383" t="str">
        <f>'[1]5.9-Esc.Carga 3a'!L7</f>
        <v>5.9</v>
      </c>
      <c r="C59" s="388" t="str">
        <f>'[1]5.9-Esc.Carga 3a'!E18</f>
        <v>Escavação, carga e transporte de material de 3ª categoria - DMT de de 0 a 50 m (Expurgo)</v>
      </c>
      <c r="D59" s="388"/>
      <c r="E59" s="388"/>
      <c r="F59" s="388"/>
      <c r="G59" s="388"/>
      <c r="H59" s="388"/>
      <c r="I59" s="388"/>
      <c r="J59" s="405"/>
      <c r="K59" s="384" t="str">
        <f>'[1]5.9-Esc.Carga 3a'!L18</f>
        <v>m³</v>
      </c>
      <c r="L59" s="382">
        <f>ROUND('[1]Nota de serviço'!N122,2)</f>
        <v>0</v>
      </c>
      <c r="M59" s="385">
        <f>'[1]5.9-Esc.Carga 3a'!L72</f>
        <v>52.46</v>
      </c>
      <c r="N59" s="386">
        <f t="shared" si="4"/>
        <v>0</v>
      </c>
    </row>
    <row r="60" spans="1:15" ht="18" hidden="1" customHeight="1" x14ac:dyDescent="0.25">
      <c r="A60" s="387"/>
      <c r="B60" s="383" t="str">
        <f>'[1]5.10-Esc.Carga'!L7</f>
        <v>5.10</v>
      </c>
      <c r="C60" s="425" t="str">
        <f>'[1]5.10-Esc.Carga'!E18</f>
        <v>Escavação e carga de material de jazida com trator de 112 kW e carregadeira de 3,3 m³</v>
      </c>
      <c r="D60" s="388"/>
      <c r="E60" s="388"/>
      <c r="F60" s="388"/>
      <c r="G60" s="388"/>
      <c r="H60" s="388"/>
      <c r="I60" s="388"/>
      <c r="J60" s="405"/>
      <c r="K60" s="384" t="str">
        <f>'[1]5.10-Esc.Carga'!L18</f>
        <v>m³</v>
      </c>
      <c r="L60" s="382">
        <f>ROUND('[1]Nota de serviço'!N118,2)</f>
        <v>0</v>
      </c>
      <c r="M60" s="385">
        <f>'[1]5.10-Esc.Carga'!L66</f>
        <v>3.66</v>
      </c>
      <c r="N60" s="386">
        <f t="shared" si="4"/>
        <v>0</v>
      </c>
      <c r="O60" s="426"/>
    </row>
    <row r="61" spans="1:15" ht="18" hidden="1" customHeight="1" x14ac:dyDescent="0.25">
      <c r="A61" s="398"/>
      <c r="B61" s="427" t="str">
        <f>'[1]5.11-Transp LN'!L7</f>
        <v>5.11</v>
      </c>
      <c r="C61" s="428" t="str">
        <f>'[1]5.11-Transp LN'!E18</f>
        <v>Transporte com caminhão basculante de 10 m³ - rodovia em leito natural</v>
      </c>
      <c r="D61" s="428"/>
      <c r="E61" s="428"/>
      <c r="F61" s="428"/>
      <c r="G61" s="428"/>
      <c r="H61" s="428"/>
      <c r="I61" s="429"/>
      <c r="J61" s="430" t="s">
        <v>183</v>
      </c>
      <c r="K61" s="1532" t="str">
        <f>'[1]5.11-Transp LN'!L18</f>
        <v>t * km</v>
      </c>
      <c r="L61" s="1533">
        <f>ROUND(L60*D62*G62*(1+J62),2)</f>
        <v>0</v>
      </c>
      <c r="M61" s="1534">
        <f>'[1]5.11-Transp LN'!L66</f>
        <v>1.02</v>
      </c>
      <c r="N61" s="1531">
        <f t="shared" si="4"/>
        <v>0</v>
      </c>
    </row>
    <row r="62" spans="1:15" ht="18" hidden="1" customHeight="1" x14ac:dyDescent="0.25">
      <c r="A62" s="376"/>
      <c r="B62" s="377"/>
      <c r="C62" s="431" t="s">
        <v>184</v>
      </c>
      <c r="D62" s="432">
        <v>1</v>
      </c>
      <c r="E62" s="433"/>
      <c r="F62" s="431" t="s">
        <v>185</v>
      </c>
      <c r="G62" s="432">
        <v>1.78</v>
      </c>
      <c r="H62" s="434"/>
      <c r="I62" s="431" t="s">
        <v>186</v>
      </c>
      <c r="J62" s="435">
        <v>0.25</v>
      </c>
      <c r="K62" s="1532"/>
      <c r="L62" s="1533"/>
      <c r="M62" s="1534"/>
      <c r="N62" s="1531"/>
    </row>
    <row r="63" spans="1:15" ht="18" hidden="1" customHeight="1" x14ac:dyDescent="0.25">
      <c r="A63" s="398"/>
      <c r="B63" s="427" t="str">
        <f>'[1]5.12-Transp RP'!L7</f>
        <v>5.12</v>
      </c>
      <c r="C63" s="428" t="str">
        <f>'[1]5.12-Transp RP'!E18</f>
        <v>Transporte com caminhão basculante de 10 m³ - rodovia com revestimento primário</v>
      </c>
      <c r="D63" s="428"/>
      <c r="E63" s="428"/>
      <c r="F63" s="428"/>
      <c r="G63" s="428"/>
      <c r="H63" s="428"/>
      <c r="I63" s="429"/>
      <c r="J63" s="430" t="s">
        <v>183</v>
      </c>
      <c r="K63" s="1532" t="str">
        <f>'[1]5.12-Transp RP'!L18</f>
        <v>t * km</v>
      </c>
      <c r="L63" s="1533">
        <f>ROUND(L60*D64*G64*(1+J64),2)</f>
        <v>0</v>
      </c>
      <c r="M63" s="1534">
        <f>'[1]5.12-Transp RP'!L66</f>
        <v>0.81</v>
      </c>
      <c r="N63" s="1531">
        <f>ROUND(L63*M63,2)</f>
        <v>0</v>
      </c>
    </row>
    <row r="64" spans="1:15" ht="18" hidden="1" customHeight="1" x14ac:dyDescent="0.25">
      <c r="A64" s="376"/>
      <c r="B64" s="377"/>
      <c r="C64" s="431" t="s">
        <v>184</v>
      </c>
      <c r="D64" s="432">
        <v>1</v>
      </c>
      <c r="E64" s="433"/>
      <c r="F64" s="431" t="s">
        <v>185</v>
      </c>
      <c r="G64" s="432">
        <v>1.78</v>
      </c>
      <c r="H64" s="434"/>
      <c r="I64" s="431" t="s">
        <v>186</v>
      </c>
      <c r="J64" s="435">
        <v>0.25</v>
      </c>
      <c r="K64" s="1532"/>
      <c r="L64" s="1533"/>
      <c r="M64" s="1534"/>
      <c r="N64" s="1531"/>
    </row>
    <row r="65" spans="1:19" ht="18" customHeight="1" x14ac:dyDescent="0.25">
      <c r="A65" s="387"/>
      <c r="B65" s="383" t="s">
        <v>187</v>
      </c>
      <c r="C65" s="425" t="str">
        <f>'[1]5.13-Cpct.Aterro'!E18</f>
        <v>Compactação de aterros a 95 % do proctor normal (inclusos o espalhamento e a conformação da plataforma)</v>
      </c>
      <c r="D65" s="436"/>
      <c r="E65" s="436"/>
      <c r="F65" s="436"/>
      <c r="G65" s="436"/>
      <c r="H65" s="436"/>
      <c r="I65" s="436"/>
      <c r="J65" s="437"/>
      <c r="K65" s="384" t="str">
        <f>'[1]5.13-Cpct.Aterro'!L18</f>
        <v>m³</v>
      </c>
      <c r="L65" s="438">
        <f>SUM(L51:L60)-L59</f>
        <v>51877.78</v>
      </c>
      <c r="M65" s="385">
        <f>'5.3'!L57</f>
        <v>4.04</v>
      </c>
      <c r="N65" s="386">
        <f t="shared" ref="N65:N75" si="5">ROUND(L65*M65,2)</f>
        <v>209586.23</v>
      </c>
    </row>
    <row r="66" spans="1:19" ht="18" customHeight="1" x14ac:dyDescent="0.25">
      <c r="A66" s="387"/>
      <c r="B66" s="383" t="s">
        <v>188</v>
      </c>
      <c r="C66" s="388" t="str">
        <f>'[1]5.14-Reconf.Plat.'!E18</f>
        <v>Reconformação da plataforma</v>
      </c>
      <c r="D66" s="388"/>
      <c r="E66" s="388"/>
      <c r="F66" s="388"/>
      <c r="G66" s="388"/>
      <c r="H66" s="388"/>
      <c r="I66" s="388"/>
      <c r="J66" s="405"/>
      <c r="K66" s="384" t="str">
        <f>'[1]5.14-Reconf.Plat.'!L18</f>
        <v xml:space="preserve">ha </v>
      </c>
      <c r="L66" s="438">
        <f>ROUND('[1]Nota de serviço'!P28*1000*'[1]Nota de serviço'!E128/10000,2)</f>
        <v>8.25</v>
      </c>
      <c r="M66" s="385">
        <f>'5.4'!L56</f>
        <v>262.45</v>
      </c>
      <c r="N66" s="386">
        <f t="shared" si="5"/>
        <v>2165.21</v>
      </c>
      <c r="O66" s="397"/>
      <c r="P66" s="397"/>
      <c r="Q66" s="397"/>
      <c r="R66" s="397"/>
      <c r="S66" s="397"/>
    </row>
    <row r="67" spans="1:19" ht="18" hidden="1" customHeight="1" x14ac:dyDescent="0.25">
      <c r="A67" s="387"/>
      <c r="B67" s="383" t="str">
        <f>'[1]5.15-Esc.Mec.Vala'!L7</f>
        <v>5.15</v>
      </c>
      <c r="C67" s="388" t="str">
        <f>'[1]5.15-Esc.Mec.Vala'!E18</f>
        <v>Escavação mecânica de vala em material de 1ª categoria</v>
      </c>
      <c r="D67" s="388"/>
      <c r="E67" s="388"/>
      <c r="F67" s="388"/>
      <c r="G67" s="388"/>
      <c r="H67" s="388"/>
      <c r="I67" s="388"/>
      <c r="J67" s="405"/>
      <c r="K67" s="384" t="str">
        <f>'[1]5.15-Esc.Mec.Vala'!L18</f>
        <v>m³</v>
      </c>
      <c r="L67" s="380"/>
      <c r="M67" s="385">
        <f>'[1]5.15-Esc.Mec.Vala'!L66</f>
        <v>8.14</v>
      </c>
      <c r="N67" s="386">
        <f t="shared" si="5"/>
        <v>0</v>
      </c>
      <c r="O67" s="397"/>
      <c r="P67" s="397"/>
      <c r="Q67" s="397"/>
      <c r="R67" s="397"/>
      <c r="S67" s="397"/>
    </row>
    <row r="68" spans="1:19" ht="18" customHeight="1" x14ac:dyDescent="0.25">
      <c r="A68" s="387"/>
      <c r="B68" s="383" t="s">
        <v>189</v>
      </c>
      <c r="C68" s="388" t="str">
        <f>'[1]5.16-Bigodes'!E18</f>
        <v>Valetas e saídas laterais d´agua (bigodes - executadas com motoniveladora)</v>
      </c>
      <c r="D68" s="388"/>
      <c r="E68" s="388"/>
      <c r="F68" s="388"/>
      <c r="G68" s="388"/>
      <c r="H68" s="388"/>
      <c r="I68" s="388"/>
      <c r="J68" s="405"/>
      <c r="K68" s="384" t="str">
        <f>'[1]5.16-Bigodes'!L18</f>
        <v>m</v>
      </c>
      <c r="L68" s="386">
        <f>ROUND('[1]Nota de serviço'!P28*'[1]Nota de serviço'!E140,2)</f>
        <v>2620</v>
      </c>
      <c r="M68" s="385">
        <f>'5.5'!L55</f>
        <v>1.05</v>
      </c>
      <c r="N68" s="386">
        <f t="shared" si="5"/>
        <v>2751</v>
      </c>
      <c r="O68" s="397"/>
      <c r="P68" s="397"/>
      <c r="Q68" s="397"/>
      <c r="R68" s="397"/>
      <c r="S68" s="397"/>
    </row>
    <row r="69" spans="1:19" ht="18" hidden="1" customHeight="1" x14ac:dyDescent="0.25">
      <c r="A69" s="387"/>
      <c r="B69" s="383" t="str">
        <f>'[1]5.17-Exp.Areia'!L7</f>
        <v>5.17</v>
      </c>
      <c r="C69" s="388" t="str">
        <f>'[1]5.17-Exp.Areia'!E18</f>
        <v>Escavação e carga de solos moles - sem transporte (expurgo de areia da pista)</v>
      </c>
      <c r="D69" s="388"/>
      <c r="E69" s="388"/>
      <c r="F69" s="388"/>
      <c r="G69" s="388"/>
      <c r="H69" s="388"/>
      <c r="I69" s="388"/>
      <c r="J69" s="405"/>
      <c r="K69" s="384" t="str">
        <f>'[1]5.17-Exp.Areia'!L18</f>
        <v>m³</v>
      </c>
      <c r="L69" s="380"/>
      <c r="M69" s="385">
        <f>'[1]5.17-Exp.Areia'!L66</f>
        <v>1.64</v>
      </c>
      <c r="N69" s="386">
        <f t="shared" si="5"/>
        <v>0</v>
      </c>
      <c r="O69" s="397"/>
      <c r="P69" s="397"/>
      <c r="Q69" s="397"/>
      <c r="R69" s="397"/>
      <c r="S69" s="397"/>
    </row>
    <row r="70" spans="1:19" ht="18" customHeight="1" x14ac:dyDescent="0.25">
      <c r="A70" s="387"/>
      <c r="B70" s="383" t="s">
        <v>190</v>
      </c>
      <c r="C70" s="388" t="str">
        <f>'[1]5.18-Exp.Jaz'!E18</f>
        <v>Expurgo de jazida - Limpeza e decapeamento</v>
      </c>
      <c r="D70" s="388"/>
      <c r="E70" s="388"/>
      <c r="F70" s="388"/>
      <c r="G70" s="388"/>
      <c r="H70" s="388"/>
      <c r="I70" s="439" t="s">
        <v>191</v>
      </c>
      <c r="J70" s="440">
        <v>0.2</v>
      </c>
      <c r="K70" s="384" t="str">
        <f>'[1]5.18-Exp.Jaz'!L18</f>
        <v>m³</v>
      </c>
      <c r="L70" s="386">
        <f>ROUND('[1]Plan. de campo'!E36*J70,2)</f>
        <v>2000</v>
      </c>
      <c r="M70" s="385">
        <f>'5.6'!L56</f>
        <v>2.76</v>
      </c>
      <c r="N70" s="386">
        <f t="shared" si="5"/>
        <v>5520</v>
      </c>
      <c r="O70" s="397"/>
      <c r="P70" s="397"/>
      <c r="Q70" s="397"/>
      <c r="R70" s="397"/>
      <c r="S70" s="397"/>
    </row>
    <row r="71" spans="1:19" ht="18" hidden="1" customHeight="1" x14ac:dyDescent="0.25">
      <c r="A71" s="387"/>
      <c r="B71" s="383" t="str">
        <f>'[1]5.19-Semead.Manual.Taludes'!L7</f>
        <v>5.19</v>
      </c>
      <c r="C71" s="388" t="str">
        <f>'[1]5.19-Semead.Manual.Taludes'!E18</f>
        <v>Semeadura manual em taludes (pó calcário, adubos NPK, orgânico, potássio, fósforo enxofre e sementes)</v>
      </c>
      <c r="D71" s="388"/>
      <c r="E71" s="388"/>
      <c r="F71" s="388"/>
      <c r="G71" s="388"/>
      <c r="H71" s="388"/>
      <c r="I71" s="388"/>
      <c r="J71" s="388"/>
      <c r="K71" s="384" t="str">
        <f>'[1]5.19-Semead.Manual.Taludes'!L18</f>
        <v>m²</v>
      </c>
      <c r="L71" s="380"/>
      <c r="M71" s="385">
        <f>'[1]5.19-Semead.Manual.Taludes'!L74</f>
        <v>1.52</v>
      </c>
      <c r="N71" s="386">
        <f t="shared" si="5"/>
        <v>0</v>
      </c>
      <c r="O71" s="441"/>
      <c r="P71" s="441"/>
      <c r="Q71" s="441"/>
      <c r="R71" s="441"/>
      <c r="S71" s="397"/>
    </row>
    <row r="72" spans="1:19" ht="18" customHeight="1" x14ac:dyDescent="0.25">
      <c r="A72" s="387"/>
      <c r="B72" s="383" t="s">
        <v>192</v>
      </c>
      <c r="C72" s="388" t="str">
        <f>'[1]5.20-Caixas.Retenção'!E18</f>
        <v>Caixas de retenção nas laterais da estrada para acúmulo de águas pluviais  (bacias de acumulação - micro bacias)</v>
      </c>
      <c r="D72" s="388"/>
      <c r="E72" s="388"/>
      <c r="F72" s="388"/>
      <c r="G72" s="388"/>
      <c r="H72" s="388"/>
      <c r="I72" s="388"/>
      <c r="J72" s="405"/>
      <c r="K72" s="384" t="str">
        <f>'[1]5.20-Caixas.Retenção'!L18</f>
        <v xml:space="preserve">un </v>
      </c>
      <c r="L72" s="386">
        <f>ROUND('[1]Nota de serviço'!P28*'[1]Nota de serviço'!L131,2)</f>
        <v>52.4</v>
      </c>
      <c r="M72" s="385">
        <f>'5.7'!L56</f>
        <v>160.16999999999999</v>
      </c>
      <c r="N72" s="386">
        <f t="shared" si="5"/>
        <v>8392.91</v>
      </c>
      <c r="O72" s="441"/>
      <c r="P72" s="441"/>
      <c r="Q72" s="441"/>
      <c r="R72" s="441"/>
      <c r="S72" s="397"/>
    </row>
    <row r="73" spans="1:19" ht="18" customHeight="1" x14ac:dyDescent="0.25">
      <c r="A73" s="387"/>
      <c r="B73" s="383" t="s">
        <v>193</v>
      </c>
      <c r="C73" s="388" t="str">
        <f>'[1]5.21-Lombadas'!E18</f>
        <v>Lombadas em aterro compactado para redução de velocidade das águas pluviais</v>
      </c>
      <c r="D73" s="388"/>
      <c r="E73" s="388"/>
      <c r="F73" s="388"/>
      <c r="G73" s="388"/>
      <c r="H73" s="388"/>
      <c r="I73" s="388"/>
      <c r="J73" s="405"/>
      <c r="K73" s="384" t="str">
        <f>'[1]5.21-Lombadas'!L18</f>
        <v xml:space="preserve">un </v>
      </c>
      <c r="L73" s="386">
        <f>ROUND('[1]Nota de serviço'!P28*'[1]Nota de serviço'!L135,2)</f>
        <v>26.2</v>
      </c>
      <c r="M73" s="385">
        <f>'5.8'!L55</f>
        <v>191.82</v>
      </c>
      <c r="N73" s="386">
        <f t="shared" si="5"/>
        <v>5025.68</v>
      </c>
      <c r="O73" s="441"/>
      <c r="P73" s="441"/>
      <c r="Q73" s="441"/>
      <c r="R73" s="441"/>
      <c r="S73" s="397"/>
    </row>
    <row r="74" spans="1:19" ht="18" hidden="1" customHeight="1" x14ac:dyDescent="0.25">
      <c r="A74" s="387"/>
      <c r="B74" s="383" t="str">
        <f>'[1]5.22-Comp'!L7</f>
        <v>5.22</v>
      </c>
      <c r="C74" s="419" t="e">
        <f>'[1]5.22-Comp'!E18</f>
        <v>#REF!</v>
      </c>
      <c r="D74" s="388"/>
      <c r="E74" s="388"/>
      <c r="F74" s="388"/>
      <c r="G74" s="388"/>
      <c r="H74" s="388"/>
      <c r="I74" s="388"/>
      <c r="J74" s="405"/>
      <c r="K74" s="404" t="e">
        <f>'[1]5.22-Comp'!L18</f>
        <v>#REF!</v>
      </c>
      <c r="L74" s="380"/>
      <c r="M74" s="385">
        <f>'[1]5.22-Comp'!L69</f>
        <v>0</v>
      </c>
      <c r="N74" s="386">
        <f t="shared" si="5"/>
        <v>0</v>
      </c>
      <c r="O74" s="441"/>
      <c r="P74" s="441"/>
      <c r="Q74" s="441"/>
      <c r="R74" s="441"/>
      <c r="S74" s="397"/>
    </row>
    <row r="75" spans="1:19" ht="18" hidden="1" customHeight="1" x14ac:dyDescent="0.25">
      <c r="A75" s="387"/>
      <c r="B75" s="383" t="str">
        <f>'[1]5.23-Comp'!L7</f>
        <v>5.23</v>
      </c>
      <c r="C75" s="419" t="e">
        <f>'[1]5.23-Comp'!E18</f>
        <v>#REF!</v>
      </c>
      <c r="D75" s="388"/>
      <c r="E75" s="388"/>
      <c r="F75" s="388"/>
      <c r="G75" s="388"/>
      <c r="H75" s="388"/>
      <c r="I75" s="388"/>
      <c r="J75" s="405"/>
      <c r="K75" s="404" t="e">
        <f>'[1]5.23-Comp'!L18</f>
        <v>#REF!</v>
      </c>
      <c r="L75" s="380"/>
      <c r="M75" s="385">
        <f>'[1]5.23-Comp'!L69</f>
        <v>0</v>
      </c>
      <c r="N75" s="386">
        <f t="shared" si="5"/>
        <v>0</v>
      </c>
      <c r="O75" s="441"/>
      <c r="P75" s="441"/>
      <c r="Q75" s="441"/>
      <c r="R75" s="441"/>
      <c r="S75" s="397"/>
    </row>
    <row r="76" spans="1:19" ht="18" hidden="1" customHeight="1" x14ac:dyDescent="0.25">
      <c r="A76" s="387"/>
      <c r="B76" s="383" t="str">
        <f>'[1]5.24-Comp'!L7</f>
        <v>5.24</v>
      </c>
      <c r="C76" s="419" t="e">
        <f>'[1]5.24-Comp'!E18</f>
        <v>#REF!</v>
      </c>
      <c r="D76" s="388"/>
      <c r="E76" s="388"/>
      <c r="F76" s="388"/>
      <c r="G76" s="388"/>
      <c r="H76" s="388"/>
      <c r="I76" s="388"/>
      <c r="J76" s="405"/>
      <c r="K76" s="404" t="e">
        <f>'[1]5.24-Comp'!L18</f>
        <v>#REF!</v>
      </c>
      <c r="L76" s="380"/>
      <c r="M76" s="385">
        <f>'[1]5.24-Comp'!L69</f>
        <v>0</v>
      </c>
      <c r="N76" s="386"/>
      <c r="O76" s="441"/>
      <c r="P76" s="441"/>
      <c r="Q76" s="441"/>
      <c r="R76" s="441"/>
      <c r="S76" s="397"/>
    </row>
    <row r="77" spans="1:19" ht="18" hidden="1" customHeight="1" x14ac:dyDescent="0.25">
      <c r="A77" s="387"/>
      <c r="B77" s="383" t="str">
        <f>'[1]5.25-Comp'!L7</f>
        <v>5.25</v>
      </c>
      <c r="C77" s="419" t="e">
        <f>'[1]5.25-Comp'!E18</f>
        <v>#REF!</v>
      </c>
      <c r="D77" s="388"/>
      <c r="E77" s="388"/>
      <c r="F77" s="388"/>
      <c r="G77" s="388"/>
      <c r="H77" s="388"/>
      <c r="I77" s="388"/>
      <c r="J77" s="405"/>
      <c r="K77" s="404" t="e">
        <f>'[1]5.25-Comp'!L18</f>
        <v>#REF!</v>
      </c>
      <c r="L77" s="380"/>
      <c r="M77" s="385">
        <f>'[1]5.25-Comp'!L69</f>
        <v>0</v>
      </c>
      <c r="N77" s="386"/>
      <c r="O77" s="441"/>
      <c r="P77" s="441"/>
      <c r="Q77" s="441"/>
      <c r="R77" s="441"/>
      <c r="S77" s="397"/>
    </row>
    <row r="78" spans="1:19" ht="9.9" customHeight="1" x14ac:dyDescent="0.25">
      <c r="A78" s="401"/>
      <c r="B78" s="406"/>
      <c r="C78" s="407"/>
      <c r="D78" s="407"/>
      <c r="E78" s="407"/>
      <c r="F78" s="407"/>
      <c r="G78" s="407"/>
      <c r="H78" s="407"/>
      <c r="I78" s="407"/>
      <c r="J78" s="407"/>
      <c r="K78" s="408"/>
      <c r="L78" s="409"/>
      <c r="M78" s="410"/>
      <c r="N78" s="411"/>
      <c r="O78" s="441"/>
      <c r="P78" s="441"/>
      <c r="Q78" s="441"/>
      <c r="R78" s="441"/>
      <c r="S78" s="397"/>
    </row>
    <row r="79" spans="1:19" ht="18" customHeight="1" x14ac:dyDescent="0.25">
      <c r="A79" s="442" t="s">
        <v>194</v>
      </c>
      <c r="B79" s="369" t="s">
        <v>195</v>
      </c>
      <c r="C79" s="369"/>
      <c r="D79" s="369"/>
      <c r="E79" s="369"/>
      <c r="F79" s="369"/>
      <c r="G79" s="369"/>
      <c r="H79" s="369"/>
      <c r="I79" s="369"/>
      <c r="J79" s="422"/>
      <c r="K79" s="370"/>
      <c r="L79" s="443"/>
      <c r="M79" s="423"/>
      <c r="N79" s="373">
        <f>SUM(N81:N122)</f>
        <v>186172.14</v>
      </c>
      <c r="O79" s="397"/>
      <c r="P79" s="397"/>
      <c r="Q79" s="397"/>
      <c r="R79" s="397"/>
      <c r="S79" s="397"/>
    </row>
    <row r="80" spans="1:19" s="2" customFormat="1" ht="18" customHeight="1" x14ac:dyDescent="0.25">
      <c r="A80" s="444" t="s">
        <v>196</v>
      </c>
      <c r="B80" s="445"/>
      <c r="C80" s="445"/>
      <c r="D80" s="445"/>
      <c r="E80" s="445"/>
      <c r="F80" s="445"/>
      <c r="G80" s="445"/>
      <c r="H80" s="445"/>
      <c r="I80" s="445"/>
      <c r="J80" s="446"/>
      <c r="K80" s="1535" t="s">
        <v>197</v>
      </c>
      <c r="L80" s="1535"/>
      <c r="M80" s="1535"/>
      <c r="N80" s="1535"/>
    </row>
    <row r="81" spans="1:19" ht="18" hidden="1" customHeight="1" x14ac:dyDescent="0.25">
      <c r="A81" s="447"/>
      <c r="B81" s="377" t="str">
        <f>'[1]6.1-Cp.BSTC-40'!L7</f>
        <v>6.1</v>
      </c>
      <c r="C81" s="407" t="str">
        <f>'[1]6.1-Cp.BSTC-40'!E18</f>
        <v>Corpo de bueiro BSTC ø = 0,40 m, PA-1, com berço em concreto ciclópico</v>
      </c>
      <c r="D81" s="378"/>
      <c r="E81" s="378"/>
      <c r="F81" s="378"/>
      <c r="G81" s="378"/>
      <c r="H81" s="378"/>
      <c r="I81" s="378"/>
      <c r="J81" s="424"/>
      <c r="K81" s="379" t="str">
        <f>'[1]6.1-Cp.BSTC-40'!L18</f>
        <v>m</v>
      </c>
      <c r="L81" s="448">
        <f>ROUND('[1]Nota de serviço'!I107,2)</f>
        <v>0</v>
      </c>
      <c r="M81" s="417">
        <f>'[1]6.1-Cp.BSTC-40'!L63</f>
        <v>186.66</v>
      </c>
      <c r="N81" s="382">
        <f t="shared" ref="N81:N121" si="6">ROUND(L81*M81,2)</f>
        <v>0</v>
      </c>
      <c r="O81" s="397"/>
      <c r="P81" s="397"/>
      <c r="Q81" s="397"/>
      <c r="R81" s="397"/>
      <c r="S81" s="397"/>
    </row>
    <row r="82" spans="1:19" ht="15.75" customHeight="1" x14ac:dyDescent="0.25">
      <c r="A82" s="387"/>
      <c r="B82" s="383" t="s">
        <v>198</v>
      </c>
      <c r="C82" s="388" t="str">
        <f>'[1]6.2-Cp.BSTC-60'!E18</f>
        <v>Corpo de bueiro BSTC ø = 0,60 m, PA-1, com berço em concreto ciclópico</v>
      </c>
      <c r="D82" s="388"/>
      <c r="E82" s="388"/>
      <c r="F82" s="388"/>
      <c r="G82" s="388"/>
      <c r="H82" s="388"/>
      <c r="I82" s="388"/>
      <c r="J82" s="405"/>
      <c r="K82" s="384" t="str">
        <f>'[1]6.2-Cp.BSTC-60'!L18</f>
        <v>m</v>
      </c>
      <c r="L82" s="448">
        <f>ROUND('[1]Nota de serviço'!I108,2)</f>
        <v>160</v>
      </c>
      <c r="M82" s="385">
        <f>'6.1'!L57</f>
        <v>302.62</v>
      </c>
      <c r="N82" s="386">
        <f t="shared" si="6"/>
        <v>48419.199999999997</v>
      </c>
      <c r="O82" s="397"/>
      <c r="P82" s="397"/>
      <c r="Q82" s="397"/>
      <c r="R82" s="397"/>
      <c r="S82" s="397"/>
    </row>
    <row r="83" spans="1:19" ht="18" hidden="1" customHeight="1" x14ac:dyDescent="0.25">
      <c r="A83" s="387"/>
      <c r="B83" s="383" t="str">
        <f>'[1]6.3-Cp.BSTC-80'!L7</f>
        <v>6.3</v>
      </c>
      <c r="C83" s="388" t="str">
        <f>'[1]6.3-Cp.BSTC-80'!E18</f>
        <v>Corpo de bueiro BSTC ø = 0,80 m, PA-1, com berço em concreto ciclópico</v>
      </c>
      <c r="D83" s="388"/>
      <c r="E83" s="388"/>
      <c r="F83" s="388"/>
      <c r="G83" s="388"/>
      <c r="H83" s="388"/>
      <c r="I83" s="388"/>
      <c r="J83" s="405"/>
      <c r="K83" s="384" t="str">
        <f>'[1]6.3-Cp.BSTC-80'!L18</f>
        <v>m</v>
      </c>
      <c r="L83" s="448">
        <f>ROUND('[1]Nota de serviço'!I109,2)</f>
        <v>0</v>
      </c>
      <c r="M83" s="385">
        <f>'[1]6.3-Cp.BSTC-80'!L63</f>
        <v>443.82</v>
      </c>
      <c r="N83" s="386">
        <f t="shared" si="6"/>
        <v>0</v>
      </c>
    </row>
    <row r="84" spans="1:19" ht="14.25" customHeight="1" x14ac:dyDescent="0.25">
      <c r="A84" s="387"/>
      <c r="B84" s="383" t="s">
        <v>199</v>
      </c>
      <c r="C84" s="388" t="str">
        <f>'[1]6.4-Cp.BSTC-100'!E18</f>
        <v>Corpo de bueiro BSTC ø = 1,00 m, PA-1, com berço em concreto ciclópico</v>
      </c>
      <c r="D84" s="388"/>
      <c r="E84" s="388"/>
      <c r="F84" s="388"/>
      <c r="G84" s="388"/>
      <c r="H84" s="388"/>
      <c r="I84" s="388"/>
      <c r="J84" s="405"/>
      <c r="K84" s="384" t="str">
        <f>'[1]6.4-Cp.BSTC-100'!L18</f>
        <v>m</v>
      </c>
      <c r="L84" s="448">
        <f>ROUND('[1]Nota de serviço'!I110,2)</f>
        <v>90</v>
      </c>
      <c r="M84" s="385">
        <f>'6.2'!L57</f>
        <v>566.28</v>
      </c>
      <c r="N84" s="386">
        <f t="shared" si="6"/>
        <v>50965.2</v>
      </c>
    </row>
    <row r="85" spans="1:19" ht="18" hidden="1" customHeight="1" x14ac:dyDescent="0.25">
      <c r="A85" s="387"/>
      <c r="B85" s="383" t="str">
        <f>'[1]6.5-Cp.BSTC-120'!L7</f>
        <v>6.5</v>
      </c>
      <c r="C85" s="388" t="str">
        <f>'[1]6.5-Cp.BSTC-120'!E18</f>
        <v>Corpo de bueiro BSTC ø = 1,20 m, PA-1, com berço em concreto ciclópico</v>
      </c>
      <c r="D85" s="388"/>
      <c r="E85" s="388"/>
      <c r="F85" s="388"/>
      <c r="G85" s="388"/>
      <c r="H85" s="388"/>
      <c r="I85" s="388"/>
      <c r="J85" s="405"/>
      <c r="K85" s="384" t="str">
        <f>'[1]6.5-Cp.BSTC-120'!L18</f>
        <v>m</v>
      </c>
      <c r="L85" s="448">
        <f>ROUND('[1]Nota de serviço'!I111,2)</f>
        <v>0</v>
      </c>
      <c r="M85" s="385">
        <f>'[1]6.5-Cp.BSTC-120'!L63</f>
        <v>893.09</v>
      </c>
      <c r="N85" s="386">
        <f t="shared" si="6"/>
        <v>0</v>
      </c>
    </row>
    <row r="86" spans="1:19" ht="18" hidden="1" customHeight="1" x14ac:dyDescent="0.25">
      <c r="A86" s="387"/>
      <c r="B86" s="383" t="str">
        <f>'[1]6.6-Cp.BSTC-150'!L7</f>
        <v>6.6</v>
      </c>
      <c r="C86" s="388" t="str">
        <f>'[1]6.6-Cp.BSTC-150'!E18</f>
        <v>Corpo de bueiro BSTC ø = 1,50 m, PA-1, com berço em concreto ciclópico</v>
      </c>
      <c r="D86" s="388"/>
      <c r="E86" s="388"/>
      <c r="F86" s="388"/>
      <c r="G86" s="388"/>
      <c r="H86" s="388"/>
      <c r="I86" s="388"/>
      <c r="J86" s="405"/>
      <c r="K86" s="384" t="str">
        <f>'[1]6.6-Cp.BSTC-150'!L18</f>
        <v>m</v>
      </c>
      <c r="L86" s="448">
        <f>ROUND('[1]Nota de serviço'!I112,2)</f>
        <v>0</v>
      </c>
      <c r="M86" s="385">
        <f>'[1]6.6-Cp.BSTC-150'!L63</f>
        <v>1536.07</v>
      </c>
      <c r="N86" s="386">
        <f t="shared" si="6"/>
        <v>0</v>
      </c>
    </row>
    <row r="87" spans="1:19" ht="18" hidden="1" customHeight="1" x14ac:dyDescent="0.25">
      <c r="A87" s="387"/>
      <c r="B87" s="383" t="str">
        <f>'[1]6.7-Cp.BDTC-40'!L7</f>
        <v>6.7</v>
      </c>
      <c r="C87" s="378" t="str">
        <f>'[1]6.7-Cp.BDTC-40'!E18</f>
        <v>Corpo de bueiro BDTC ø = 0,40 m, PA-1, com berço em concreto ciclópico</v>
      </c>
      <c r="D87" s="388"/>
      <c r="E87" s="388"/>
      <c r="F87" s="388"/>
      <c r="G87" s="388"/>
      <c r="H87" s="388"/>
      <c r="I87" s="388"/>
      <c r="J87" s="405"/>
      <c r="K87" s="384" t="str">
        <f>'[1]6.7-Cp.BDTC-40'!L18</f>
        <v>m</v>
      </c>
      <c r="L87" s="448">
        <f>ROUND('[1]Nota de serviço'!I113,2)</f>
        <v>0</v>
      </c>
      <c r="M87" s="385">
        <f>'[1]6.7-Cp.BDTC-40'!L63</f>
        <v>353.76</v>
      </c>
      <c r="N87" s="386">
        <f t="shared" si="6"/>
        <v>0</v>
      </c>
    </row>
    <row r="88" spans="1:19" ht="13.5" customHeight="1" x14ac:dyDescent="0.25">
      <c r="A88" s="449"/>
      <c r="B88" s="383" t="s">
        <v>200</v>
      </c>
      <c r="C88" s="378" t="str">
        <f>'[1]6.8-Cp.BDTC-60'!E18</f>
        <v>Corpo de bueiro BDTC ø = 0,60 m, PA-1, com berço em concreto ciclópico</v>
      </c>
      <c r="D88" s="388"/>
      <c r="E88" s="388"/>
      <c r="F88" s="388"/>
      <c r="G88" s="388"/>
      <c r="H88" s="388"/>
      <c r="I88" s="388"/>
      <c r="J88" s="405"/>
      <c r="K88" s="384" t="str">
        <f>'[1]6.8-Cp.BDTC-60'!L18</f>
        <v>m</v>
      </c>
      <c r="L88" s="448">
        <f>ROUND('[1]Nota de serviço'!I114,2)</f>
        <v>8</v>
      </c>
      <c r="M88" s="385">
        <f>'6.3'!L58</f>
        <v>566.37</v>
      </c>
      <c r="N88" s="386">
        <f t="shared" si="6"/>
        <v>4530.96</v>
      </c>
    </row>
    <row r="89" spans="1:19" ht="18" hidden="1" customHeight="1" x14ac:dyDescent="0.25">
      <c r="A89" s="387"/>
      <c r="B89" s="383" t="str">
        <f>'[1]6.9-Cp.BDTC-80'!L7</f>
        <v>6.9</v>
      </c>
      <c r="C89" s="378" t="str">
        <f>'[1]6.9-Cp.BDTC-80'!E18</f>
        <v>Corpo de bueiro BDTC ø = 0,80 m, PA-1, com berço em concreto ciclópico</v>
      </c>
      <c r="D89" s="388"/>
      <c r="E89" s="388"/>
      <c r="F89" s="388"/>
      <c r="G89" s="388"/>
      <c r="H89" s="388"/>
      <c r="I89" s="388"/>
      <c r="J89" s="405"/>
      <c r="K89" s="384" t="str">
        <f>'[1]6.9-Cp.BDTC-80'!L18</f>
        <v>m</v>
      </c>
      <c r="L89" s="448">
        <f>ROUND('[1]Nota de serviço'!I115,2)</f>
        <v>0</v>
      </c>
      <c r="M89" s="385">
        <f>'[1]6.9-Cp.BDTC-80'!L63</f>
        <v>858.3</v>
      </c>
      <c r="N89" s="386">
        <f t="shared" si="6"/>
        <v>0</v>
      </c>
    </row>
    <row r="90" spans="1:19" ht="14.25" customHeight="1" x14ac:dyDescent="0.25">
      <c r="A90" s="387"/>
      <c r="B90" s="383" t="s">
        <v>201</v>
      </c>
      <c r="C90" s="378" t="str">
        <f>'[1]6.10-Cp.BDTC-100'!E18</f>
        <v>Corpo de bueiro BDTC ø = 1,00 m, PA-1, com berço em concreto ciclópico</v>
      </c>
      <c r="D90" s="388"/>
      <c r="E90" s="388"/>
      <c r="F90" s="388"/>
      <c r="G90" s="388"/>
      <c r="H90" s="388"/>
      <c r="I90" s="388"/>
      <c r="J90" s="405"/>
      <c r="K90" s="384" t="str">
        <f>'[1]6.10-Cp.BDTC-100'!L18</f>
        <v>m</v>
      </c>
      <c r="L90" s="448">
        <f>ROUND('[1]Nota de serviço'!I116,2)</f>
        <v>18</v>
      </c>
      <c r="M90" s="385">
        <f>'6.4'!L57</f>
        <v>1103.3699999999999</v>
      </c>
      <c r="N90" s="386">
        <f t="shared" si="6"/>
        <v>19860.66</v>
      </c>
    </row>
    <row r="91" spans="1:19" ht="18" hidden="1" customHeight="1" x14ac:dyDescent="0.25">
      <c r="A91" s="387"/>
      <c r="B91" s="383" t="str">
        <f>'[1]6.11-Cp.BDTC-120'!L7</f>
        <v>6.11</v>
      </c>
      <c r="C91" s="378" t="str">
        <f>'[1]6.11-Cp.BDTC-120'!E18</f>
        <v>Corpo de bueiro BDTC ø = 1,20 m, PA-1, com berço em concreto ciclópico</v>
      </c>
      <c r="D91" s="388"/>
      <c r="E91" s="388"/>
      <c r="F91" s="388"/>
      <c r="G91" s="388"/>
      <c r="H91" s="388"/>
      <c r="I91" s="388"/>
      <c r="J91" s="405"/>
      <c r="K91" s="384" t="str">
        <f>'[1]6.11-Cp.BDTC-120'!L18</f>
        <v>m</v>
      </c>
      <c r="L91" s="448">
        <f>ROUND('[1]Nota de serviço'!I117,2)</f>
        <v>0</v>
      </c>
      <c r="M91" s="385">
        <f>'[1]6.11-Cp.BDTC-120'!L63</f>
        <v>1747.05</v>
      </c>
      <c r="N91" s="386">
        <f t="shared" si="6"/>
        <v>0</v>
      </c>
    </row>
    <row r="92" spans="1:19" ht="18" hidden="1" customHeight="1" x14ac:dyDescent="0.25">
      <c r="A92" s="387"/>
      <c r="B92" s="383" t="str">
        <f>'[1]6.12-Cp.BDTC-150'!L7</f>
        <v>6.12</v>
      </c>
      <c r="C92" s="378" t="str">
        <f>'[1]6.12-Cp.BDTC-150'!E18</f>
        <v>Corpo de bueiro BDTC ø = 1,50 m, PA-1, com berço em concreto ciclópico</v>
      </c>
      <c r="D92" s="388"/>
      <c r="E92" s="388"/>
      <c r="F92" s="388"/>
      <c r="G92" s="388"/>
      <c r="H92" s="388"/>
      <c r="I92" s="388"/>
      <c r="J92" s="405"/>
      <c r="K92" s="384" t="str">
        <f>'[1]6.12-Cp.BDTC-150'!L18</f>
        <v>m</v>
      </c>
      <c r="L92" s="448">
        <f>ROUND('[1]Nota de serviço'!I118,2)</f>
        <v>0</v>
      </c>
      <c r="M92" s="385">
        <f>'[1]6.12-Cp.BDTC-150'!L63</f>
        <v>3032.9</v>
      </c>
      <c r="N92" s="386">
        <f t="shared" si="6"/>
        <v>0</v>
      </c>
    </row>
    <row r="93" spans="1:19" ht="18" hidden="1" customHeight="1" x14ac:dyDescent="0.25">
      <c r="A93" s="387"/>
      <c r="B93" s="383" t="str">
        <f>'[1]6.13-Cp.BTTC-40'!L7</f>
        <v>6.13</v>
      </c>
      <c r="C93" s="388" t="str">
        <f>'[1]6.13-Cp.BTTC-40'!E18</f>
        <v>Corpo de bueiro BTTC ø = 0,40 m, PA-1, com berço em concreto ciclópico</v>
      </c>
      <c r="D93" s="388"/>
      <c r="E93" s="388"/>
      <c r="F93" s="388"/>
      <c r="G93" s="388"/>
      <c r="H93" s="388"/>
      <c r="I93" s="388"/>
      <c r="J93" s="405"/>
      <c r="K93" s="384" t="str">
        <f>'[1]6.13-Cp.BTTC-40'!L18</f>
        <v>m</v>
      </c>
      <c r="L93" s="448">
        <f>ROUND('[1]Nota de serviço'!I119,2)</f>
        <v>0</v>
      </c>
      <c r="M93" s="385">
        <f>'[1]6.13-Cp.BTTC-40'!L63</f>
        <v>520.86</v>
      </c>
      <c r="N93" s="386">
        <f t="shared" si="6"/>
        <v>0</v>
      </c>
      <c r="O93" s="441"/>
      <c r="P93" s="441"/>
      <c r="Q93" s="441"/>
      <c r="R93" s="441"/>
      <c r="S93" s="397"/>
    </row>
    <row r="94" spans="1:19" ht="18" hidden="1" customHeight="1" x14ac:dyDescent="0.25">
      <c r="A94" s="449"/>
      <c r="B94" s="383" t="str">
        <f>'[1]6.14-Cp.BTTC-60'!L7</f>
        <v>6.14</v>
      </c>
      <c r="C94" s="388" t="str">
        <f>'[1]6.14-Cp.BTTC-60'!E18</f>
        <v>Corpo de bueiro BTTC ø = 0,60 m, PA-1,com berço em concreto ciclópico</v>
      </c>
      <c r="D94" s="388"/>
      <c r="E94" s="388"/>
      <c r="F94" s="388"/>
      <c r="G94" s="388"/>
      <c r="H94" s="388"/>
      <c r="I94" s="388"/>
      <c r="J94" s="405"/>
      <c r="K94" s="384" t="str">
        <f>'[1]6.14-Cp.BTTC-60'!L18</f>
        <v>m</v>
      </c>
      <c r="L94" s="448">
        <f>ROUND('[1]Nota de serviço'!I120,2)</f>
        <v>0</v>
      </c>
      <c r="M94" s="385">
        <f>'[1]6.14-Cp.BTTC-60'!L63</f>
        <v>832.99</v>
      </c>
      <c r="N94" s="386">
        <f t="shared" si="6"/>
        <v>0</v>
      </c>
      <c r="O94" s="441"/>
      <c r="P94" s="441"/>
      <c r="Q94" s="441"/>
      <c r="R94" s="441"/>
      <c r="S94" s="397"/>
    </row>
    <row r="95" spans="1:19" ht="18" hidden="1" customHeight="1" x14ac:dyDescent="0.25">
      <c r="A95" s="387"/>
      <c r="B95" s="383" t="str">
        <f>'[1]6.15-Cp.BTTC-80'!L7</f>
        <v>6.15</v>
      </c>
      <c r="C95" s="388" t="str">
        <f>'[1]6.15-Cp.BTTC-80'!E18</f>
        <v>Corpo de bueiro BTTC ø = 0,80 m, PA-1, com berço em concreto ciclópico</v>
      </c>
      <c r="D95" s="388"/>
      <c r="E95" s="388"/>
      <c r="F95" s="388"/>
      <c r="G95" s="388"/>
      <c r="H95" s="388"/>
      <c r="I95" s="388"/>
      <c r="J95" s="405"/>
      <c r="K95" s="384" t="str">
        <f>'[1]6.15-Cp.BTTC-80'!L18</f>
        <v>m</v>
      </c>
      <c r="L95" s="448">
        <f>ROUND('[1]Nota de serviço'!I121,2)</f>
        <v>0</v>
      </c>
      <c r="M95" s="385">
        <f>'[1]6.15-Cp.BTTC-80'!L63</f>
        <v>1272.79</v>
      </c>
      <c r="N95" s="386">
        <f t="shared" si="6"/>
        <v>0</v>
      </c>
      <c r="O95" s="441"/>
      <c r="P95" s="441"/>
      <c r="Q95" s="441"/>
      <c r="R95" s="441"/>
      <c r="S95" s="397"/>
    </row>
    <row r="96" spans="1:19" ht="18" hidden="1" customHeight="1" x14ac:dyDescent="0.25">
      <c r="A96" s="387"/>
      <c r="B96" s="383" t="str">
        <f>'[1]6.16-Cp.BTTC-100'!L7</f>
        <v>6.16</v>
      </c>
      <c r="C96" s="388" t="str">
        <f>'[1]6.16-Cp.BTTC-100'!E18</f>
        <v>Corpo de bueiro BTTC ø = 1,00 m, PA-1, com berço em concreto ciclópico</v>
      </c>
      <c r="D96" s="388"/>
      <c r="E96" s="388"/>
      <c r="F96" s="388"/>
      <c r="G96" s="388"/>
      <c r="H96" s="388"/>
      <c r="I96" s="388"/>
      <c r="J96" s="405"/>
      <c r="K96" s="384" t="str">
        <f>'[1]6.16-Cp.BTTC-100'!L18</f>
        <v>m</v>
      </c>
      <c r="L96" s="448">
        <f>ROUND('[1]Nota de serviço'!I122,2)</f>
        <v>0</v>
      </c>
      <c r="M96" s="385">
        <f>'[1]6.16-Cp.BTTC-100'!L63</f>
        <v>1644.68</v>
      </c>
      <c r="N96" s="386">
        <f t="shared" si="6"/>
        <v>0</v>
      </c>
      <c r="O96" s="441"/>
      <c r="P96" s="441"/>
      <c r="Q96" s="441"/>
      <c r="R96" s="441"/>
      <c r="S96" s="397"/>
    </row>
    <row r="97" spans="1:19" ht="18" hidden="1" customHeight="1" x14ac:dyDescent="0.25">
      <c r="A97" s="387"/>
      <c r="B97" s="383" t="str">
        <f>'[1]6.17-Cp.BTTC-120'!L7</f>
        <v>6.17</v>
      </c>
      <c r="C97" s="388" t="str">
        <f>'[1]6.17-Cp.BTTC-120'!E18</f>
        <v>Corpo de bueiro BTTC ø = 1,20 m, PA-1, com berço em concreto ciclópico</v>
      </c>
      <c r="D97" s="388"/>
      <c r="E97" s="388"/>
      <c r="F97" s="388"/>
      <c r="G97" s="388"/>
      <c r="H97" s="388"/>
      <c r="I97" s="388"/>
      <c r="J97" s="405"/>
      <c r="K97" s="384" t="str">
        <f>'[1]6.17-Cp.BTTC-120'!L18</f>
        <v>m</v>
      </c>
      <c r="L97" s="448">
        <f>ROUND('[1]Nota de serviço'!I123,2)</f>
        <v>0</v>
      </c>
      <c r="M97" s="385">
        <f>'[1]6.17-Cp.BTTC-120'!L63</f>
        <v>2601.02</v>
      </c>
      <c r="N97" s="386">
        <f t="shared" si="6"/>
        <v>0</v>
      </c>
      <c r="O97" s="441"/>
      <c r="P97" s="441"/>
      <c r="Q97" s="441"/>
      <c r="R97" s="441"/>
      <c r="S97" s="397"/>
    </row>
    <row r="98" spans="1:19" ht="18" hidden="1" customHeight="1" x14ac:dyDescent="0.25">
      <c r="A98" s="387"/>
      <c r="B98" s="383" t="str">
        <f>'[1]6.18-Cp.BTTC-150'!L7</f>
        <v>6.18</v>
      </c>
      <c r="C98" s="388" t="str">
        <f>'[1]6.18-Cp.BTTC-150'!E18</f>
        <v>Corpo de bueiro BTTC ø = 1,50 m, PA-1, com berço em concreto ciclópico</v>
      </c>
      <c r="D98" s="388"/>
      <c r="E98" s="388"/>
      <c r="F98" s="388"/>
      <c r="G98" s="388"/>
      <c r="H98" s="388"/>
      <c r="I98" s="388"/>
      <c r="J98" s="420"/>
      <c r="K98" s="384" t="str">
        <f>'[1]6.18-Cp.BTTC-150'!L18</f>
        <v>m</v>
      </c>
      <c r="L98" s="448">
        <f>ROUND('[1]Nota de serviço'!I124,2)</f>
        <v>0</v>
      </c>
      <c r="M98" s="385">
        <f>'[1]6.18-Cp.BTTC-150'!L63</f>
        <v>4530.3100000000004</v>
      </c>
      <c r="N98" s="386">
        <f t="shared" si="6"/>
        <v>0</v>
      </c>
      <c r="O98" s="441"/>
      <c r="P98" s="441"/>
      <c r="Q98" s="441"/>
      <c r="R98" s="441"/>
      <c r="S98" s="397"/>
    </row>
    <row r="99" spans="1:19" ht="18" hidden="1" customHeight="1" x14ac:dyDescent="0.25">
      <c r="A99" s="387"/>
      <c r="B99" s="383" t="str">
        <f>IF($K$80="concreto ciclópico",'[1]6.19-Bca.BSTC-40'!$L$7,'[1]6.19-Bca.Ped.BSTC-40'!$L$7)</f>
        <v>6.19</v>
      </c>
      <c r="C99" s="388" t="str">
        <f>IF($K$80="concreto ciclópico",'[1]6.19-Bca.BSTC-40'!$E$18,'[1]6.19-Bca.Ped.BSTC-40'!$E$18)</f>
        <v>Boca de BSTC ø = 0,40 m, em concreto ciclópico, alas retas - esconsidade 0°</v>
      </c>
      <c r="D99" s="388"/>
      <c r="E99" s="388"/>
      <c r="F99" s="388"/>
      <c r="G99" s="388"/>
      <c r="H99" s="388"/>
      <c r="I99" s="450" t="s">
        <v>202</v>
      </c>
      <c r="J99" s="451" t="s">
        <v>203</v>
      </c>
      <c r="K99" s="384" t="s">
        <v>204</v>
      </c>
      <c r="L99" s="438">
        <f>ROUND('[1]Nota de serviço'!J107,2)</f>
        <v>0</v>
      </c>
      <c r="M99" s="385">
        <f>IF($K$80="concreto ciclópico",'[1]6.19-Bca.BSTC-40'!L63,'[1]6.19-Bca.Ped.BSTC-40'!L63)</f>
        <v>398.09</v>
      </c>
      <c r="N99" s="386">
        <f t="shared" si="6"/>
        <v>0</v>
      </c>
      <c r="O99" s="441"/>
      <c r="P99" s="441"/>
      <c r="Q99" s="441"/>
      <c r="R99" s="441"/>
      <c r="S99" s="397"/>
    </row>
    <row r="100" spans="1:19" ht="13.5" customHeight="1" x14ac:dyDescent="0.25">
      <c r="A100" s="387"/>
      <c r="B100" s="383" t="s">
        <v>205</v>
      </c>
      <c r="C100" s="388" t="str">
        <f>IF($K$80="concreto ciclópico",'[1]6.20-Bca.BSTC-60'!$E$18,'[1]6.20-Bca.Ped.BSTC-60'!$E$18)</f>
        <v>Boca de BSTC ø = 0,60 m, em concreto ciclópico, alas retas - esconsidade 0°</v>
      </c>
      <c r="D100" s="388"/>
      <c r="E100" s="388"/>
      <c r="F100" s="388"/>
      <c r="G100" s="452"/>
      <c r="H100" s="388"/>
      <c r="I100" s="450" t="s">
        <v>202</v>
      </c>
      <c r="J100" s="453" t="s">
        <v>203</v>
      </c>
      <c r="K100" s="384" t="s">
        <v>204</v>
      </c>
      <c r="L100" s="438">
        <f>ROUND('[1]Nota de serviço'!J108,2)</f>
        <v>40</v>
      </c>
      <c r="M100" s="385">
        <f>'6.5'!L56</f>
        <v>586.87</v>
      </c>
      <c r="N100" s="386">
        <f t="shared" si="6"/>
        <v>23474.799999999999</v>
      </c>
      <c r="O100" s="441"/>
      <c r="P100" s="441"/>
      <c r="Q100" s="441"/>
      <c r="R100" s="441"/>
      <c r="S100" s="397"/>
    </row>
    <row r="101" spans="1:19" ht="18" hidden="1" customHeight="1" x14ac:dyDescent="0.25">
      <c r="A101" s="387"/>
      <c r="B101" s="383" t="str">
        <f>IF($K$80="concreto ciclópico",'[1]6.21-Bca.BSTC-80'!$L$7,'[1]6.21-Bca.Ped.BSTC-80'!$L$7)</f>
        <v>6.21</v>
      </c>
      <c r="C101" s="388" t="str">
        <f>IF($K$80="concreto ciclópico",'[1]6.21-Bca.BSTC-80'!$E$18,'[1]6.21-Bca.Ped.BSTC-80'!$E$18)</f>
        <v>Boca de BSTC ø = 0,80 m, em concreto ciclópico, alas retas - esconsidade 0°</v>
      </c>
      <c r="D101" s="388"/>
      <c r="E101" s="388"/>
      <c r="F101" s="388"/>
      <c r="G101" s="452"/>
      <c r="H101" s="388"/>
      <c r="I101" s="450" t="s">
        <v>202</v>
      </c>
      <c r="J101" s="453" t="s">
        <v>203</v>
      </c>
      <c r="K101" s="384" t="s">
        <v>204</v>
      </c>
      <c r="L101" s="438">
        <f>ROUND('[1]Nota de serviço'!J109,2)</f>
        <v>0</v>
      </c>
      <c r="M101" s="385">
        <f>IF($K$80="concreto ciclópico",'[1]6.21-Bca.BSTC-80'!L63,'[1]6.21-Bca.Ped.BSTC-80'!L63)</f>
        <v>1116.01</v>
      </c>
      <c r="N101" s="386">
        <f t="shared" si="6"/>
        <v>0</v>
      </c>
      <c r="O101" s="441"/>
      <c r="P101" s="441"/>
      <c r="Q101" s="441"/>
      <c r="R101" s="441"/>
      <c r="S101" s="397"/>
    </row>
    <row r="102" spans="1:19" ht="14.25" customHeight="1" x14ac:dyDescent="0.25">
      <c r="A102" s="387"/>
      <c r="B102" s="399" t="s">
        <v>206</v>
      </c>
      <c r="C102" s="388" t="str">
        <f>IF($K$80="concreto ciclópico",'[1]6.22-Bca.BSTC-100'!$E$18,'[1]6.22-Bca.Ped.BSTC-100'!$E$18)</f>
        <v>Boca de BSTC ø = 1,00 m, em concreto ciclópico, alas retas - esconsidade 0°</v>
      </c>
      <c r="D102" s="388"/>
      <c r="E102" s="388"/>
      <c r="F102" s="388"/>
      <c r="G102" s="452"/>
      <c r="H102" s="388"/>
      <c r="I102" s="450" t="s">
        <v>202</v>
      </c>
      <c r="J102" s="453" t="s">
        <v>203</v>
      </c>
      <c r="K102" s="384" t="s">
        <v>204</v>
      </c>
      <c r="L102" s="438">
        <f>ROUND('[1]Nota de serviço'!J110,2)</f>
        <v>20</v>
      </c>
      <c r="M102" s="385">
        <f>'6.6'!L57</f>
        <v>1468.82</v>
      </c>
      <c r="N102" s="386">
        <f t="shared" si="6"/>
        <v>29376.400000000001</v>
      </c>
      <c r="O102" s="441"/>
      <c r="P102" s="441"/>
      <c r="Q102" s="441"/>
      <c r="R102" s="441"/>
      <c r="S102" s="397"/>
    </row>
    <row r="103" spans="1:19" ht="18" hidden="1" customHeight="1" x14ac:dyDescent="0.25">
      <c r="A103" s="387"/>
      <c r="B103" s="383" t="str">
        <f>IF($K$80="concreto ciclópico",'[1]6.23-Bca.BSTC-120'!$L$7,'[1]6.23-Bca.Ped.BSTC-120'!$L$7)</f>
        <v>6.23</v>
      </c>
      <c r="C103" s="388" t="str">
        <f>IF($K$80="concreto ciclópico",'[1]6.23-Bca.BSTC-120'!$E$18,'[1]6.23-Bca.Ped.BSTC-120'!$E$18)</f>
        <v>Boca de BSTC ø = 1,20 m, em concreto ciclópico, alas retas - esconsidade 0°</v>
      </c>
      <c r="D103" s="388"/>
      <c r="E103" s="388"/>
      <c r="F103" s="388"/>
      <c r="G103" s="452"/>
      <c r="H103" s="388"/>
      <c r="I103" s="450" t="s">
        <v>202</v>
      </c>
      <c r="J103" s="453" t="s">
        <v>203</v>
      </c>
      <c r="K103" s="384" t="s">
        <v>204</v>
      </c>
      <c r="L103" s="438">
        <f>ROUND('[1]Nota de serviço'!J111,2)</f>
        <v>0</v>
      </c>
      <c r="M103" s="385">
        <f>IF($K$80="concreto ciclópico",'[1]6.23-Bca.BSTC-120'!L63,'[1]6.23-Bca.Ped.BSTC-120'!L63)</f>
        <v>1960.12</v>
      </c>
      <c r="N103" s="386">
        <f t="shared" si="6"/>
        <v>0</v>
      </c>
      <c r="O103" s="441"/>
      <c r="P103" s="441"/>
      <c r="Q103" s="441"/>
      <c r="R103" s="441"/>
      <c r="S103" s="397"/>
    </row>
    <row r="104" spans="1:19" ht="18" hidden="1" customHeight="1" x14ac:dyDescent="0.25">
      <c r="A104" s="387"/>
      <c r="B104" s="383" t="str">
        <f>IF($K$80="concreto ciclópico",'[1]6.24-Bca.BSTC-150'!$L$7,'[1]6.24-Bca.Ped.BSTC-150'!$L$7)</f>
        <v>6.24</v>
      </c>
      <c r="C104" s="388" t="str">
        <f>IF($K$80="concreto ciclópico",'[1]6.24-Bca.BSTC-150'!$E$18,'[1]6.24-Bca.Ped.BSTC-150'!$E$18)</f>
        <v>Boca de BSTC ø = 1,50 m, em concreto ciclópico, alas retas - esconsidade 0°</v>
      </c>
      <c r="D104" s="388"/>
      <c r="E104" s="388"/>
      <c r="F104" s="388"/>
      <c r="G104" s="452"/>
      <c r="H104" s="388"/>
      <c r="I104" s="450" t="s">
        <v>202</v>
      </c>
      <c r="J104" s="453" t="s">
        <v>203</v>
      </c>
      <c r="K104" s="384" t="s">
        <v>204</v>
      </c>
      <c r="L104" s="438">
        <f>ROUND('[1]Nota de serviço'!J112,2)</f>
        <v>0</v>
      </c>
      <c r="M104" s="385">
        <f>IF($K$80="concreto ciclópico",'[1]6.24-Bca.BSTC-150'!L63,'[1]6.24-Bca.Ped.BSTC-150'!L63)</f>
        <v>3266.64</v>
      </c>
      <c r="N104" s="386">
        <f t="shared" si="6"/>
        <v>0</v>
      </c>
      <c r="O104" s="441"/>
      <c r="P104" s="441"/>
      <c r="Q104" s="441"/>
      <c r="R104" s="441"/>
      <c r="S104" s="397"/>
    </row>
    <row r="105" spans="1:19" ht="18" hidden="1" customHeight="1" x14ac:dyDescent="0.25">
      <c r="A105" s="387"/>
      <c r="B105" s="383" t="str">
        <f>IF($K$80="concreto ciclópico",'[1]6.25-Bca.BDTC-40'!$L$7,'[1]6.25-Bca.Ped.BDTC-40'!$L$7)</f>
        <v>6.25</v>
      </c>
      <c r="C105" s="388" t="str">
        <f>IF($K$80="concreto ciclópico",'[1]6.25-Bca.BDTC-40'!$E$18,'[1]6.25-Bca.Ped.BDTC-40'!$E$18)</f>
        <v>Boca de BDTC ø = 0,40 m, em concreto ciclópico, alas retas - esconsidade 0°</v>
      </c>
      <c r="D105" s="388"/>
      <c r="E105" s="388"/>
      <c r="F105" s="388"/>
      <c r="G105" s="452"/>
      <c r="H105" s="388"/>
      <c r="I105" s="450" t="s">
        <v>202</v>
      </c>
      <c r="J105" s="453" t="s">
        <v>203</v>
      </c>
      <c r="K105" s="384" t="s">
        <v>204</v>
      </c>
      <c r="L105" s="438">
        <f>ROUND('[1]Nota de serviço'!J113,2)</f>
        <v>0</v>
      </c>
      <c r="M105" s="385">
        <f>IF($K$80="concreto ciclópico",'[1]6.25-Bca.BDTC-40'!L63,'[1]6.25-Bca.Ped.BDTC-40'!L63)</f>
        <v>549.47</v>
      </c>
      <c r="N105" s="386">
        <f t="shared" si="6"/>
        <v>0</v>
      </c>
      <c r="O105" s="441"/>
      <c r="P105" s="441"/>
      <c r="Q105" s="441"/>
      <c r="R105" s="441"/>
      <c r="S105" s="397"/>
    </row>
    <row r="106" spans="1:19" ht="13.5" customHeight="1" x14ac:dyDescent="0.25">
      <c r="A106" s="387"/>
      <c r="B106" s="383" t="s">
        <v>207</v>
      </c>
      <c r="C106" s="388" t="str">
        <f>IF($K$80="concreto ciclópico",'[1]6.26-Bca.BDTC-60'!$E$18,'[1]6.26-Bca.Ped.BDTC-60'!$E$18)</f>
        <v>Boca de BDTC ø = 0,60 m, em concreto ciclópico, alas retas - esconsidade 0°</v>
      </c>
      <c r="D106" s="388"/>
      <c r="E106" s="388"/>
      <c r="F106" s="388"/>
      <c r="G106" s="452"/>
      <c r="H106" s="388"/>
      <c r="I106" s="450" t="s">
        <v>202</v>
      </c>
      <c r="J106" s="453" t="s">
        <v>203</v>
      </c>
      <c r="K106" s="384" t="s">
        <v>204</v>
      </c>
      <c r="L106" s="438">
        <f>ROUND('[1]Nota de serviço'!J114,2)</f>
        <v>2</v>
      </c>
      <c r="M106" s="385">
        <f>'6.7'!L56</f>
        <v>808.38</v>
      </c>
      <c r="N106" s="386">
        <f t="shared" si="6"/>
        <v>1616.76</v>
      </c>
      <c r="O106" s="441"/>
      <c r="P106" s="441"/>
      <c r="Q106" s="441"/>
      <c r="R106" s="441"/>
      <c r="S106" s="397"/>
    </row>
    <row r="107" spans="1:19" ht="18" hidden="1" customHeight="1" x14ac:dyDescent="0.25">
      <c r="A107" s="387"/>
      <c r="B107" s="383" t="str">
        <f>IF($K$80="concreto ciclópico",'[1]6.27-Bca.BDTC-80'!$L$7,'[1]6.27-Bca.Ped.BDTC-80'!$L$7)</f>
        <v>6.27</v>
      </c>
      <c r="C107" s="388" t="str">
        <f>IF($K$80="concreto ciclópico",'[1]6.27-Bca.BDTC-80'!$E$18,'[1]6.27-Bca.Ped.BDTC-80'!$E$18)</f>
        <v>Boca de BDTC ø = 0,80 m, em concreto ciclópico, alas retas - esconsidade 0°</v>
      </c>
      <c r="D107" s="388"/>
      <c r="E107" s="388"/>
      <c r="F107" s="388"/>
      <c r="G107" s="452"/>
      <c r="H107" s="388"/>
      <c r="I107" s="450" t="s">
        <v>202</v>
      </c>
      <c r="J107" s="453" t="s">
        <v>203</v>
      </c>
      <c r="K107" s="384" t="s">
        <v>204</v>
      </c>
      <c r="L107" s="438">
        <f>ROUND('[1]Nota de serviço'!J115,2)</f>
        <v>0</v>
      </c>
      <c r="M107" s="385">
        <f>IF($K$80="concreto ciclópico",'[1]6.27-Bca.BDTC-80'!L63,'[1]6.27-Bca.Ped.BDTC-80'!L63)</f>
        <v>1504.76</v>
      </c>
      <c r="N107" s="386">
        <f t="shared" si="6"/>
        <v>0</v>
      </c>
      <c r="O107" s="441"/>
      <c r="P107" s="441"/>
      <c r="Q107" s="441"/>
      <c r="R107" s="441"/>
      <c r="S107" s="397"/>
    </row>
    <row r="108" spans="1:19" ht="15.75" customHeight="1" x14ac:dyDescent="0.25">
      <c r="A108" s="387"/>
      <c r="B108" s="383" t="s">
        <v>208</v>
      </c>
      <c r="C108" s="388" t="str">
        <f>IF($K$80="concreto ciclópico",'[1]6.28-Bca.BDTC-100'!$E$18,'[1]6.28-Bca.Ped.BDTC-100'!$E$18)</f>
        <v>Boca de BDTC ø = 1,00 m, em concreto ciclópico, alas retas - esconsidade 0°</v>
      </c>
      <c r="D108" s="388"/>
      <c r="E108" s="388"/>
      <c r="F108" s="388"/>
      <c r="G108" s="452"/>
      <c r="H108" s="388"/>
      <c r="I108" s="450" t="s">
        <v>202</v>
      </c>
      <c r="J108" s="453" t="s">
        <v>203</v>
      </c>
      <c r="K108" s="384" t="s">
        <v>204</v>
      </c>
      <c r="L108" s="438">
        <f>ROUND('[1]Nota de serviço'!J116,2)</f>
        <v>4</v>
      </c>
      <c r="M108" s="385">
        <f>'6.8'!L56</f>
        <v>1982.04</v>
      </c>
      <c r="N108" s="386">
        <f t="shared" si="6"/>
        <v>7928.16</v>
      </c>
      <c r="O108" s="441"/>
      <c r="P108" s="441"/>
      <c r="Q108" s="441"/>
      <c r="R108" s="441"/>
      <c r="S108" s="397"/>
    </row>
    <row r="109" spans="1:19" ht="18" hidden="1" customHeight="1" x14ac:dyDescent="0.25">
      <c r="A109" s="387"/>
      <c r="B109" s="383" t="str">
        <f>IF($K$80="concreto ciclópico",'[1]6.29-Bca.BDTC-120'!$L$7,'[1]6.29-Bca.Ped.BDTC-120'!$L$7)</f>
        <v>6.29</v>
      </c>
      <c r="C109" s="388" t="str">
        <f>IF($K$80="concreto ciclópico",'[1]6.29-Bca.BDTC-120'!$E$18,'[1]6.29-Bca.Ped.BDTC-120'!$E$18)</f>
        <v>Boca de BDTC ø = 1,20 m, em concreto ciclópico, alas retas - esconsidade 0°</v>
      </c>
      <c r="D109" s="388"/>
      <c r="E109" s="388"/>
      <c r="F109" s="388"/>
      <c r="G109" s="452"/>
      <c r="H109" s="388"/>
      <c r="I109" s="450" t="s">
        <v>202</v>
      </c>
      <c r="J109" s="453" t="s">
        <v>203</v>
      </c>
      <c r="K109" s="384" t="s">
        <v>204</v>
      </c>
      <c r="L109" s="438">
        <f>ROUND('[1]Nota de serviço'!J117,2)</f>
        <v>0</v>
      </c>
      <c r="M109" s="385">
        <f>IF($K$80="concreto ciclópico",'[1]6.29-Bca.BDTC-120'!L63,'[1]6.29-Bca.Ped.BDTC-120'!L63)</f>
        <v>2637.82</v>
      </c>
      <c r="N109" s="386">
        <f t="shared" si="6"/>
        <v>0</v>
      </c>
      <c r="O109" s="441"/>
      <c r="P109" s="441"/>
      <c r="Q109" s="441"/>
      <c r="R109" s="441"/>
      <c r="S109" s="397"/>
    </row>
    <row r="110" spans="1:19" ht="18" hidden="1" customHeight="1" x14ac:dyDescent="0.25">
      <c r="A110" s="387"/>
      <c r="B110" s="383" t="str">
        <f>IF($K$80="concreto ciclópico",'[1]6.30-Bca.BDTC-150'!$L$7,'[1]6.30-Bca.Ped.BDTC-150'!$L$7)</f>
        <v>6.30</v>
      </c>
      <c r="C110" s="388" t="str">
        <f>IF($K$80="concreto ciclópico",'[1]6.30-Bca.BDTC-150'!$E$18,'[1]6.30-Bca.Ped.BDTC-150'!$E$18)</f>
        <v>Boca de BDTC ø = 1,50 m, em concreto ciclópico, alas retas - esconsidade 0°</v>
      </c>
      <c r="D110" s="388"/>
      <c r="E110" s="388"/>
      <c r="F110" s="388"/>
      <c r="G110" s="452"/>
      <c r="H110" s="388"/>
      <c r="I110" s="450" t="s">
        <v>202</v>
      </c>
      <c r="J110" s="453" t="s">
        <v>203</v>
      </c>
      <c r="K110" s="384" t="s">
        <v>204</v>
      </c>
      <c r="L110" s="438">
        <f>ROUND('[1]Nota de serviço'!J118,2)</f>
        <v>0</v>
      </c>
      <c r="M110" s="385">
        <f>IF($K$80="concreto ciclópico",'[1]6.30-Bca.BDTC-150'!L63,'[1]6.30-Bca.Ped.BDTC-150'!L63)</f>
        <v>4325.24</v>
      </c>
      <c r="N110" s="386">
        <f t="shared" si="6"/>
        <v>0</v>
      </c>
      <c r="O110" s="441"/>
      <c r="P110" s="441"/>
      <c r="Q110" s="441"/>
      <c r="R110" s="441"/>
      <c r="S110" s="397"/>
    </row>
    <row r="111" spans="1:19" ht="18" hidden="1" customHeight="1" x14ac:dyDescent="0.25">
      <c r="A111" s="387"/>
      <c r="B111" s="383" t="str">
        <f>IF($K$80="concreto ciclópico",'[1]6.31-Bca.BTTC-40'!$L$7,'[1]6.31-Bca.Ped.BTTC-40'!$L$7)</f>
        <v>6.31</v>
      </c>
      <c r="C111" s="388" t="str">
        <f>IF($K$80="concreto ciclópico",'[1]6.31-Bca.BTTC-40'!$E$18,'[1]6.31-Bca.Ped.BTTC-40'!$E$18)</f>
        <v>Boca de BTTC ø = 0,40 m, em concreto ciclópico, alas retas - esconsidade 0°</v>
      </c>
      <c r="D111" s="388"/>
      <c r="E111" s="388"/>
      <c r="F111" s="388"/>
      <c r="G111" s="452"/>
      <c r="H111" s="388"/>
      <c r="I111" s="450" t="s">
        <v>202</v>
      </c>
      <c r="J111" s="453" t="s">
        <v>203</v>
      </c>
      <c r="K111" s="384" t="s">
        <v>204</v>
      </c>
      <c r="L111" s="438">
        <f>ROUND('[1]Nota de serviço'!J119,2)</f>
        <v>0</v>
      </c>
      <c r="M111" s="385">
        <f>IF($K$80="concreto ciclópico",'[1]6.31-Bca.BTTC-40'!L63,'[1]6.31-Bca.Ped.BTTC-40'!L63)</f>
        <v>699.64</v>
      </c>
      <c r="N111" s="386">
        <f t="shared" si="6"/>
        <v>0</v>
      </c>
      <c r="O111" s="441"/>
      <c r="P111" s="441"/>
      <c r="Q111" s="441"/>
      <c r="R111" s="441"/>
      <c r="S111" s="397"/>
    </row>
    <row r="112" spans="1:19" ht="18" hidden="1" customHeight="1" x14ac:dyDescent="0.25">
      <c r="A112" s="387"/>
      <c r="B112" s="383" t="str">
        <f>IF($K$80="concreto ciclópico",'[1]6.32-Bca.BTTC-60'!$L$7,'[1]6.32-Bca.Ped.BTTC-60'!$L$7)</f>
        <v>6.32</v>
      </c>
      <c r="C112" s="388" t="str">
        <f>IF($K$80="concreto ciclópico",'[1]6.32-Bca.BTTC-60'!$E$18,'[1]6.32-Bca.Ped.BTTC-60'!$E$18)</f>
        <v>Boca de BTTC ø = 0,60 m, em concreto ciclópico, alas retas - esconsidade 0°</v>
      </c>
      <c r="D112" s="388"/>
      <c r="E112" s="388"/>
      <c r="F112" s="388"/>
      <c r="G112" s="452"/>
      <c r="H112" s="388"/>
      <c r="I112" s="450" t="s">
        <v>202</v>
      </c>
      <c r="J112" s="453" t="s">
        <v>203</v>
      </c>
      <c r="K112" s="384" t="s">
        <v>204</v>
      </c>
      <c r="L112" s="438">
        <f>ROUND('[1]Nota de serviço'!J120,2)</f>
        <v>0</v>
      </c>
      <c r="M112" s="385">
        <f>IF($K$80="concreto ciclópico",'[1]6.32-Bca.BTTC-60'!L63,'[1]6.32-Bca.Ped.BTTC-60'!L63)</f>
        <v>1032.1500000000001</v>
      </c>
      <c r="N112" s="386">
        <f t="shared" si="6"/>
        <v>0</v>
      </c>
      <c r="O112" s="441"/>
      <c r="P112" s="441"/>
      <c r="Q112" s="441"/>
      <c r="R112" s="441"/>
      <c r="S112" s="397"/>
    </row>
    <row r="113" spans="1:19" ht="18" hidden="1" customHeight="1" x14ac:dyDescent="0.25">
      <c r="A113" s="387"/>
      <c r="B113" s="383" t="str">
        <f>IF($K$80="concreto ciclópico",'[1]6.33-Bca.BTTC-80'!$L$7,'[1]6.33-Bca.Ped.BTTC-80'!$L$7)</f>
        <v>6.33</v>
      </c>
      <c r="C113" s="388" t="str">
        <f>IF($K$80="concreto ciclópico",'[1]6.33-Bca.BTTC-80'!$E$18,'[1]6.33-Bca.Ped.BTTC-80'!$E$18)</f>
        <v>Boca de BTTC ø = 0,80 m, em concreto ciclópico, alas retas - esconsidade 0°</v>
      </c>
      <c r="D113" s="388"/>
      <c r="E113" s="388"/>
      <c r="F113" s="388"/>
      <c r="G113" s="452"/>
      <c r="H113" s="388"/>
      <c r="I113" s="450" t="s">
        <v>202</v>
      </c>
      <c r="J113" s="453" t="s">
        <v>203</v>
      </c>
      <c r="K113" s="384" t="s">
        <v>204</v>
      </c>
      <c r="L113" s="438">
        <f>ROUND('[1]Nota de serviço'!J121,2)</f>
        <v>0</v>
      </c>
      <c r="M113" s="385">
        <f>IF($K$80="concreto ciclópico",'[1]6.33-Bca.BTTC-80'!L63,'[1]6.33-Bca.Ped.BTTC-80'!L63)</f>
        <v>1893.08</v>
      </c>
      <c r="N113" s="386">
        <f t="shared" si="6"/>
        <v>0</v>
      </c>
      <c r="O113" s="441"/>
      <c r="P113" s="441"/>
      <c r="Q113" s="441"/>
      <c r="R113" s="441"/>
      <c r="S113" s="397"/>
    </row>
    <row r="114" spans="1:19" ht="18" hidden="1" customHeight="1" x14ac:dyDescent="0.25">
      <c r="A114" s="387"/>
      <c r="B114" s="383" t="str">
        <f>IF($K$80="concreto ciclópico",'[1]6.34-Bca.BTTC-100'!$L$7,'[1]6.34-Bca.Ped.BTTC-100'!$L$7)</f>
        <v>6.34</v>
      </c>
      <c r="C114" s="388" t="str">
        <f>IF($K$80="concreto ciclópico",'[1]6.34-Bca.BTTC-100'!$E$18,'[1]6.34-Bca.Ped.BTTC-100'!$E$18)</f>
        <v>Boca de BTTC ø = 1,00 m, em concreto ciclópico, alas retas - esconsidade 0°</v>
      </c>
      <c r="D114" s="388"/>
      <c r="E114" s="388"/>
      <c r="F114" s="388"/>
      <c r="G114" s="452"/>
      <c r="H114" s="388"/>
      <c r="I114" s="450" t="s">
        <v>202</v>
      </c>
      <c r="J114" s="453" t="s">
        <v>203</v>
      </c>
      <c r="K114" s="384" t="s">
        <v>204</v>
      </c>
      <c r="L114" s="438">
        <f>ROUND('[1]Nota de serviço'!J122,2)</f>
        <v>0</v>
      </c>
      <c r="M114" s="385">
        <f>IF($K$80="concreto ciclópico",'[1]6.34-Bca.BTTC-100'!L63,'[1]6.34-Bca.Ped.BTTC-100'!L63)</f>
        <v>2503.77</v>
      </c>
      <c r="N114" s="386">
        <f t="shared" si="6"/>
        <v>0</v>
      </c>
      <c r="O114" s="441"/>
      <c r="P114" s="441"/>
      <c r="Q114" s="441"/>
      <c r="R114" s="441"/>
      <c r="S114" s="397"/>
    </row>
    <row r="115" spans="1:19" ht="18" hidden="1" customHeight="1" x14ac:dyDescent="0.25">
      <c r="A115" s="387"/>
      <c r="B115" s="383" t="str">
        <f>IF($K$80="concreto ciclópico",'[1]6.35-Bca.BTTC-120'!$L$7,'[1]6.35-Bca.Ped.BTTC-120'!$L$7)</f>
        <v>6.35</v>
      </c>
      <c r="C115" s="388" t="str">
        <f>IF($K$80="concreto ciclópico",'[1]6.35-Bca.BTTC-120'!$E$18,'[1]6.35-Bca.Ped.BTTC-120'!$E$18)</f>
        <v>Boca de BTTC ø = 1,20 m, em concreto ciclópico, alas retas - esconsidade 0°</v>
      </c>
      <c r="D115" s="388"/>
      <c r="E115" s="388"/>
      <c r="F115" s="388"/>
      <c r="G115" s="452"/>
      <c r="H115" s="388"/>
      <c r="I115" s="450" t="s">
        <v>202</v>
      </c>
      <c r="J115" s="453" t="s">
        <v>203</v>
      </c>
      <c r="K115" s="384" t="s">
        <v>204</v>
      </c>
      <c r="L115" s="438">
        <f>ROUND('[1]Nota de serviço'!J123,2)</f>
        <v>0</v>
      </c>
      <c r="M115" s="385">
        <f>IF($K$80="concreto ciclópico",'[1]6.35-Bca.BTTC-120'!L63,'[1]6.35-Bca.Ped.BTTC-120'!L63)</f>
        <v>3315.46</v>
      </c>
      <c r="N115" s="386">
        <f t="shared" si="6"/>
        <v>0</v>
      </c>
      <c r="O115" s="441"/>
      <c r="P115" s="441"/>
      <c r="Q115" s="441"/>
      <c r="R115" s="441"/>
      <c r="S115" s="397"/>
    </row>
    <row r="116" spans="1:19" ht="18" hidden="1" customHeight="1" x14ac:dyDescent="0.25">
      <c r="A116" s="387"/>
      <c r="B116" s="383" t="str">
        <f>IF($K$80="concreto ciclópico",'[1]6.36-Bca.BTTC-150'!$L$7,'[1]6.36-Bca.Ped.BTTC-150'!$L$7)</f>
        <v>6.36</v>
      </c>
      <c r="C116" s="388" t="str">
        <f>IF($K$80="concreto ciclópico",'[1]6.36-Bca.BTTC-150'!$E$18,'[1]6.36-Bca.Ped.BTTC-150'!$E$18)</f>
        <v>Boca de BTTC ø = 1,50 m, em concreto ciclópico, alas retas - esconsidade 0°</v>
      </c>
      <c r="D116" s="388"/>
      <c r="E116" s="388"/>
      <c r="F116" s="388"/>
      <c r="G116" s="452"/>
      <c r="H116" s="388"/>
      <c r="I116" s="450" t="s">
        <v>202</v>
      </c>
      <c r="J116" s="453" t="s">
        <v>203</v>
      </c>
      <c r="K116" s="384" t="s">
        <v>204</v>
      </c>
      <c r="L116" s="438">
        <f>ROUND('[1]Nota de serviço'!J124,2)</f>
        <v>0</v>
      </c>
      <c r="M116" s="385">
        <f>IF($K$80="concreto ciclópico",'[1]6.36-Bca.BTTC-150'!L63,'[1]6.36-Bca.Ped.BTTC-150'!L63)</f>
        <v>5383.84</v>
      </c>
      <c r="N116" s="386">
        <f t="shared" si="6"/>
        <v>0</v>
      </c>
      <c r="O116" s="441"/>
      <c r="P116" s="441"/>
      <c r="Q116" s="441"/>
      <c r="R116" s="441"/>
      <c r="S116" s="397"/>
    </row>
    <row r="117" spans="1:19" ht="18" hidden="1" customHeight="1" x14ac:dyDescent="0.25">
      <c r="A117" s="387"/>
      <c r="B117" s="383" t="str">
        <f>'[1]6.37-Esc.Mec.Vala'!L7</f>
        <v>6.37</v>
      </c>
      <c r="C117" s="388" t="str">
        <f>'[1]6.37-Esc.Mec.Vala'!E18</f>
        <v>Escavação mecânica de vala em material de 1ª categoria</v>
      </c>
      <c r="D117" s="388"/>
      <c r="E117" s="388"/>
      <c r="F117" s="388"/>
      <c r="G117" s="452"/>
      <c r="H117" s="388"/>
      <c r="I117" s="388"/>
      <c r="J117" s="454"/>
      <c r="K117" s="404" t="str">
        <f>'[1]6.37-Esc.Mec.Vala'!L18</f>
        <v>m³</v>
      </c>
      <c r="L117" s="380"/>
      <c r="M117" s="385">
        <f>'[1]6.37-Esc.Mec.Vala'!L66</f>
        <v>8.14</v>
      </c>
      <c r="N117" s="386">
        <f t="shared" si="6"/>
        <v>0</v>
      </c>
      <c r="O117" s="441"/>
      <c r="P117" s="441"/>
      <c r="Q117" s="441"/>
      <c r="R117" s="441"/>
      <c r="S117" s="397"/>
    </row>
    <row r="118" spans="1:19" ht="18" hidden="1" customHeight="1" x14ac:dyDescent="0.25">
      <c r="A118" s="387"/>
      <c r="B118" s="383" t="str">
        <f>'[1]6.38-Reaterro.Man.Soq.Vib'!L7</f>
        <v>6.38</v>
      </c>
      <c r="C118" s="388" t="str">
        <f>'[1]6.38-Reaterro.Man.Soq.Vib'!E18</f>
        <v>Reaterro e compactação com soquete vibratório</v>
      </c>
      <c r="D118" s="388"/>
      <c r="E118" s="388"/>
      <c r="F118" s="388"/>
      <c r="G118" s="452"/>
      <c r="H118" s="388"/>
      <c r="I118" s="388"/>
      <c r="J118" s="455"/>
      <c r="K118" s="387" t="str">
        <f>'[1]6.38-Reaterro.Man.Soq.Vib'!L18</f>
        <v>m³</v>
      </c>
      <c r="L118" s="380"/>
      <c r="M118" s="385">
        <f>'[1]6.38-Reaterro.Man.Soq.Vib'!L69</f>
        <v>15.89</v>
      </c>
      <c r="N118" s="386">
        <f t="shared" si="6"/>
        <v>0</v>
      </c>
      <c r="O118" s="441"/>
      <c r="P118" s="441"/>
      <c r="Q118" s="441"/>
      <c r="R118" s="441"/>
      <c r="S118" s="397"/>
    </row>
    <row r="119" spans="1:19" ht="18" hidden="1" customHeight="1" x14ac:dyDescent="0.25">
      <c r="A119" s="387"/>
      <c r="B119" s="383" t="str">
        <f>'[1]6.39-Comp'!L7</f>
        <v>6.39</v>
      </c>
      <c r="C119" s="419" t="e">
        <f>'[1]6.39-Comp'!E18</f>
        <v>#REF!</v>
      </c>
      <c r="D119" s="388"/>
      <c r="E119" s="388"/>
      <c r="F119" s="388"/>
      <c r="G119" s="452"/>
      <c r="H119" s="388"/>
      <c r="I119" s="388"/>
      <c r="J119" s="454"/>
      <c r="K119" s="404" t="e">
        <f>'[1]6.39-Comp'!L18</f>
        <v>#REF!</v>
      </c>
      <c r="L119" s="380"/>
      <c r="M119" s="385">
        <f>'[1]6.39-Comp'!L69</f>
        <v>0</v>
      </c>
      <c r="N119" s="386">
        <f t="shared" si="6"/>
        <v>0</v>
      </c>
      <c r="O119" s="441"/>
      <c r="P119" s="441"/>
      <c r="Q119" s="441"/>
      <c r="R119" s="441"/>
      <c r="S119" s="397"/>
    </row>
    <row r="120" spans="1:19" ht="18" hidden="1" customHeight="1" x14ac:dyDescent="0.25">
      <c r="A120" s="387"/>
      <c r="B120" s="383" t="str">
        <f>'[1]6.40-Comp'!L7</f>
        <v>6.40</v>
      </c>
      <c r="C120" s="419" t="e">
        <f>'[1]6.40-Comp'!E18</f>
        <v>#REF!</v>
      </c>
      <c r="D120" s="388"/>
      <c r="E120" s="388"/>
      <c r="F120" s="388"/>
      <c r="G120" s="452"/>
      <c r="H120" s="388"/>
      <c r="I120" s="388"/>
      <c r="J120" s="454"/>
      <c r="K120" s="404" t="e">
        <f>'[1]6.40-Comp'!L18</f>
        <v>#REF!</v>
      </c>
      <c r="L120" s="380"/>
      <c r="M120" s="385">
        <f>'[1]6.40-Comp'!L69</f>
        <v>0</v>
      </c>
      <c r="N120" s="386">
        <f t="shared" si="6"/>
        <v>0</v>
      </c>
      <c r="O120" s="441"/>
      <c r="P120" s="441"/>
      <c r="Q120" s="441"/>
      <c r="R120" s="441"/>
      <c r="S120" s="397"/>
    </row>
    <row r="121" spans="1:19" ht="18" hidden="1" customHeight="1" x14ac:dyDescent="0.25">
      <c r="A121" s="387"/>
      <c r="B121" s="383" t="str">
        <f>'[1]6.41-Comp'!L7</f>
        <v>6.41</v>
      </c>
      <c r="C121" s="419" t="e">
        <f>'[1]6.41-Comp'!E18</f>
        <v>#REF!</v>
      </c>
      <c r="D121" s="388"/>
      <c r="E121" s="388"/>
      <c r="F121" s="388"/>
      <c r="G121" s="452"/>
      <c r="H121" s="388"/>
      <c r="I121" s="388"/>
      <c r="J121" s="454"/>
      <c r="K121" s="404" t="e">
        <f>'[1]6.41-Comp'!L18</f>
        <v>#REF!</v>
      </c>
      <c r="L121" s="380"/>
      <c r="M121" s="385">
        <f>'[1]6.41-Comp'!L69</f>
        <v>0</v>
      </c>
      <c r="N121" s="386">
        <f t="shared" si="6"/>
        <v>0</v>
      </c>
      <c r="O121" s="441"/>
      <c r="P121" s="441"/>
      <c r="Q121" s="441"/>
      <c r="R121" s="441"/>
      <c r="S121" s="397"/>
    </row>
    <row r="122" spans="1:19" ht="9.9" customHeight="1" x14ac:dyDescent="0.25">
      <c r="A122" s="401"/>
      <c r="B122" s="406"/>
      <c r="C122" s="407"/>
      <c r="D122" s="407"/>
      <c r="E122" s="407"/>
      <c r="F122" s="407"/>
      <c r="G122" s="407"/>
      <c r="H122" s="407"/>
      <c r="I122" s="407"/>
      <c r="J122" s="407"/>
      <c r="K122" s="408"/>
      <c r="L122" s="409"/>
      <c r="M122" s="410"/>
      <c r="N122" s="411"/>
      <c r="O122" s="441"/>
      <c r="P122" s="441"/>
      <c r="Q122" s="441"/>
      <c r="R122" s="441"/>
      <c r="S122" s="397"/>
    </row>
    <row r="123" spans="1:19" ht="18" customHeight="1" x14ac:dyDescent="0.25">
      <c r="A123" s="442" t="s">
        <v>209</v>
      </c>
      <c r="B123" s="369" t="s">
        <v>210</v>
      </c>
      <c r="C123" s="369"/>
      <c r="D123" s="369"/>
      <c r="E123" s="369"/>
      <c r="F123" s="369"/>
      <c r="G123" s="369"/>
      <c r="H123" s="369"/>
      <c r="I123" s="369"/>
      <c r="J123" s="422"/>
      <c r="K123" s="370"/>
      <c r="L123" s="443"/>
      <c r="M123" s="423"/>
      <c r="N123" s="373">
        <f>SUM(N124:N141)</f>
        <v>335838.54</v>
      </c>
      <c r="O123" s="441"/>
      <c r="P123" s="441"/>
      <c r="Q123" s="441"/>
      <c r="R123" s="441"/>
      <c r="S123" s="397"/>
    </row>
    <row r="124" spans="1:19" ht="39.9" customHeight="1" x14ac:dyDescent="0.25">
      <c r="A124" s="447"/>
      <c r="B124" s="377" t="str">
        <f>'[1]7.1-Pte.Mad.'!L7</f>
        <v>7.1</v>
      </c>
      <c r="C124" s="1536" t="str">
        <f>'[1]7.1-Pte.Mad.'!E18</f>
        <v>Ponte em madeira de lei LEGALIZADA (peças aparelhadas), com vigamento simples e fundação em estacas cravadas, com largura mínima de 5,00 m (exceto alas para contenção de aterro) - Dados da ponte devem ser informados na planilha Quant. Ponte Madeira</v>
      </c>
      <c r="D124" s="1536"/>
      <c r="E124" s="1536"/>
      <c r="F124" s="1536"/>
      <c r="G124" s="1536"/>
      <c r="H124" s="1536"/>
      <c r="I124" s="1536"/>
      <c r="J124" s="1536"/>
      <c r="K124" s="379" t="str">
        <f>'[1]7.1-Pte.Mad.'!L18</f>
        <v>m</v>
      </c>
      <c r="L124" s="448">
        <f>ROUND('[1]Nota de serviço'!I126,2)</f>
        <v>38</v>
      </c>
      <c r="M124" s="417">
        <f>'7.1'!L65</f>
        <v>6965.85</v>
      </c>
      <c r="N124" s="382">
        <f t="shared" ref="N124:N134" si="7">ROUND(L124*M124,2)</f>
        <v>264702.3</v>
      </c>
      <c r="O124" s="441"/>
      <c r="P124" s="441"/>
      <c r="Q124" s="441"/>
      <c r="R124" s="441"/>
      <c r="S124" s="397"/>
    </row>
    <row r="125" spans="1:19" ht="27.9" customHeight="1" x14ac:dyDescent="0.25">
      <c r="A125" s="447"/>
      <c r="B125" s="377" t="str">
        <f>'[1]7.2-Pte.Ala.'!L7</f>
        <v>7.2</v>
      </c>
      <c r="C125" s="1536" t="str">
        <f>'[1]7.2-Pte.Ala.'!E18</f>
        <v>Ala de contenção de aterro para ponte em madeira de lei LEGALIZADA (peças aparelhadas), fundação em estacas cravadas, com largura mínima de 5,00 m  - Dados das alas devem ser informados na planilha Quant. Ponte Madeira</v>
      </c>
      <c r="D125" s="1536"/>
      <c r="E125" s="1536"/>
      <c r="F125" s="1536"/>
      <c r="G125" s="1536"/>
      <c r="H125" s="1536"/>
      <c r="I125" s="1536"/>
      <c r="J125" s="1536"/>
      <c r="K125" s="379" t="str">
        <f>'[1]7.2-Pte.Ala.'!L18</f>
        <v xml:space="preserve">un </v>
      </c>
      <c r="L125" s="380">
        <v>8</v>
      </c>
      <c r="M125" s="417">
        <f>'7.2'!L63</f>
        <v>8892.0300000000007</v>
      </c>
      <c r="N125" s="382">
        <f t="shared" si="7"/>
        <v>71136.240000000005</v>
      </c>
      <c r="O125" s="441"/>
      <c r="P125" s="441"/>
      <c r="Q125" s="441"/>
      <c r="R125" s="441"/>
      <c r="S125" s="397"/>
    </row>
    <row r="126" spans="1:19" ht="27.9" hidden="1" customHeight="1" x14ac:dyDescent="0.25">
      <c r="A126" s="387"/>
      <c r="B126" s="383" t="str">
        <f>'[1]7.3-Pte.Ped.Arg.Mad.'!L7</f>
        <v>7.3</v>
      </c>
      <c r="C126" s="1526" t="str">
        <f>'[1]7.3-Pte.Ped.Arg.Mad.'!E18</f>
        <v>Ponte mista em pedra argamassada e madeira de lei LEGALIZADA (peças aparelhadas), largura mínima de 5,00 m, inclusive imunização total das madeiras.</v>
      </c>
      <c r="D126" s="1526"/>
      <c r="E126" s="1526"/>
      <c r="F126" s="1526"/>
      <c r="G126" s="1526"/>
      <c r="H126" s="1526"/>
      <c r="I126" s="1526"/>
      <c r="J126" s="1526"/>
      <c r="K126" s="384" t="str">
        <f>'[1]7.3-Pte.Ped.Arg.Mad.'!L18</f>
        <v>m</v>
      </c>
      <c r="L126" s="380"/>
      <c r="M126" s="385">
        <f>'[1]7.3-Pte.Ped.Arg.Mad.'!L69</f>
        <v>6873.34</v>
      </c>
      <c r="N126" s="386">
        <f t="shared" si="7"/>
        <v>0</v>
      </c>
      <c r="O126" s="441"/>
      <c r="P126" s="441"/>
      <c r="Q126" s="441"/>
      <c r="R126" s="441"/>
      <c r="S126" s="397"/>
    </row>
    <row r="127" spans="1:19" ht="18" hidden="1" customHeight="1" x14ac:dyDescent="0.25">
      <c r="A127" s="387"/>
      <c r="B127" s="383" t="str">
        <f>'[1]7.4-Ptlh.Mad'!L7</f>
        <v>7.4</v>
      </c>
      <c r="C127" s="388" t="str">
        <f>'[1]7.4-Ptlh.Mad'!E18</f>
        <v>Pontilhão em madeira de lei LEGALIZADA pranchado (peças aparelhadas), com largura mínima de 4,20 m.</v>
      </c>
      <c r="D127" s="388"/>
      <c r="E127" s="388"/>
      <c r="F127" s="388"/>
      <c r="G127" s="388"/>
      <c r="H127" s="388"/>
      <c r="I127" s="388"/>
      <c r="J127" s="389"/>
      <c r="K127" s="384" t="str">
        <f>'[1]7.4-Ptlh.Mad'!L18</f>
        <v>m</v>
      </c>
      <c r="L127" s="448">
        <f>ROUND('[1]Nota de serviço'!I125,2)</f>
        <v>0</v>
      </c>
      <c r="M127" s="385">
        <f>'[1]7.4-Ptlh.Mad'!L69</f>
        <v>4240.97</v>
      </c>
      <c r="N127" s="386">
        <f t="shared" si="7"/>
        <v>0</v>
      </c>
      <c r="O127" s="441"/>
      <c r="P127" s="441"/>
      <c r="Q127" s="441"/>
      <c r="R127" s="441"/>
      <c r="S127" s="397"/>
    </row>
    <row r="128" spans="1:19" ht="75" hidden="1" customHeight="1" x14ac:dyDescent="0.25">
      <c r="A128" s="387" t="s">
        <v>211</v>
      </c>
      <c r="B128" s="383" t="str">
        <f>'[1]7.5-Pte.Mist.Conc.Mad.'!L7</f>
        <v>7.5</v>
      </c>
      <c r="C128" s="1526" t="str">
        <f>'[1]7.5-Pte.Mist.Conc.Mad.'!E18</f>
        <v>Ponte em estrutura mista (concreto e madeira de lei LEGALIZADA - peças aparelhadas), com vigamento simples e fundação em estacas cravadas (madeira e/ou concreto), largura mínima de 5,00 m. Elementos em concreto armado =&gt; blocos, pilares, transversinas, vi</v>
      </c>
      <c r="D128" s="1526"/>
      <c r="E128" s="1526"/>
      <c r="F128" s="1526"/>
      <c r="G128" s="1526"/>
      <c r="H128" s="1526"/>
      <c r="I128" s="1526"/>
      <c r="J128" s="1526"/>
      <c r="K128" s="384" t="s">
        <v>136</v>
      </c>
      <c r="L128" s="380"/>
      <c r="M128" s="456">
        <f>'[1]7.5-Pte.Mist.Conc.Mad.'!L69</f>
        <v>0</v>
      </c>
      <c r="N128" s="386">
        <f t="shared" si="7"/>
        <v>0</v>
      </c>
      <c r="O128" s="441"/>
      <c r="P128" s="441"/>
      <c r="Q128" s="441"/>
      <c r="R128" s="441"/>
      <c r="S128" s="397"/>
    </row>
    <row r="129" spans="1:19" ht="27.9" hidden="1" customHeight="1" x14ac:dyDescent="0.25">
      <c r="A129" s="387" t="s">
        <v>211</v>
      </c>
      <c r="B129" s="383" t="str">
        <f>'[1]7.6-Pte.Conc.Armado'!L7</f>
        <v>7.6</v>
      </c>
      <c r="C129" s="1526" t="str">
        <f>'[1]7.6-Pte.Conc.Armado'!E18</f>
        <v xml:space="preserve">Ponte em estrutura de concreto armado largura mínima de 5,00 m (deverá ser elaborado o projeto estrutural da ponte, bem como orçamento específico para apresentação da proposta) </v>
      </c>
      <c r="D129" s="1526"/>
      <c r="E129" s="1526"/>
      <c r="F129" s="1526"/>
      <c r="G129" s="1526"/>
      <c r="H129" s="1526"/>
      <c r="I129" s="1526"/>
      <c r="J129" s="1526"/>
      <c r="K129" s="384" t="s">
        <v>136</v>
      </c>
      <c r="L129" s="380"/>
      <c r="M129" s="456">
        <f>'[1]7.6-Pte.Conc.Armado'!L69</f>
        <v>0</v>
      </c>
      <c r="N129" s="386">
        <f t="shared" si="7"/>
        <v>0</v>
      </c>
      <c r="O129" s="441"/>
      <c r="P129" s="441"/>
      <c r="Q129" s="441"/>
      <c r="R129" s="441"/>
      <c r="S129" s="397"/>
    </row>
    <row r="130" spans="1:19" ht="21" hidden="1" customHeight="1" x14ac:dyDescent="0.25">
      <c r="A130" s="1538"/>
      <c r="B130" s="1528" t="str">
        <f>'[1]7.7-Sinaliz.Obra.Arte'!L7</f>
        <v>7.7</v>
      </c>
      <c r="C130" s="1539" t="str">
        <f>'[1]7.7-Sinaliz.Obra.Arte'!E18</f>
        <v>Fornecimento e implantação de placa de advertência para sinalização de obras de arte especiais, em chapa de aço galvanizado nº 16, película retrorrefletiva tipo I + SI, com suporte e travessa em madeira de lei tratada 8 x 8 cm. (Informar as medidas das pl</v>
      </c>
      <c r="D130" s="1539"/>
      <c r="E130" s="1539"/>
      <c r="F130" s="1539"/>
      <c r="G130" s="457" t="str">
        <f>CONCATENATE("7.6.1 - ",'[1]7.7-Sinaliz.Obra.Arte'!E65," - (",'[1]7.7-Sinaliz.Obra.Arte'!F65,"x",'[1]7.7-Sinaliz.Obra.Arte'!G65,")m")</f>
        <v>7.6.1 - Ponte estreita, código A-22 (amar) - (0,8x0,8)m</v>
      </c>
      <c r="H130" s="458"/>
      <c r="I130" s="459"/>
      <c r="J130" s="460"/>
      <c r="K130" s="384" t="str">
        <f>'[1]7.7-Sinaliz.Obra.Arte'!L18</f>
        <v xml:space="preserve">un </v>
      </c>
      <c r="L130" s="380"/>
      <c r="M130" s="385">
        <f>'[1]7.7-Sinaliz.Obra.Arte'!L65</f>
        <v>557.76</v>
      </c>
      <c r="N130" s="386">
        <f t="shared" si="7"/>
        <v>0</v>
      </c>
      <c r="O130" s="441"/>
      <c r="P130" s="441"/>
      <c r="Q130" s="441"/>
      <c r="R130" s="441"/>
      <c r="S130" s="397"/>
    </row>
    <row r="131" spans="1:19" ht="21" hidden="1" customHeight="1" x14ac:dyDescent="0.25">
      <c r="A131" s="1538"/>
      <c r="B131" s="1528"/>
      <c r="C131" s="1539"/>
      <c r="D131" s="1539"/>
      <c r="E131" s="1539"/>
      <c r="F131" s="1539"/>
      <c r="G131" s="457" t="str">
        <f>CONCATENATE("7.6.2 - ",'[1]7.7-Sinaliz.Obra.Arte'!E66," - (",'[1]7.7-Sinaliz.Obra.Arte'!F66,"x",'[1]7.7-Sinaliz.Obra.Arte'!G66,")m")</f>
        <v>7.6.2 - Identificação de OAE (azul) - (1,5x1)m</v>
      </c>
      <c r="H131" s="458"/>
      <c r="I131" s="459"/>
      <c r="J131" s="460"/>
      <c r="K131" s="384" t="str">
        <f>'[1]7.7-Sinaliz.Obra.Arte'!L18</f>
        <v xml:space="preserve">un </v>
      </c>
      <c r="L131" s="380"/>
      <c r="M131" s="385">
        <f>'[1]7.7-Sinaliz.Obra.Arte'!L66</f>
        <v>1182.24</v>
      </c>
      <c r="N131" s="386">
        <f t="shared" si="7"/>
        <v>0</v>
      </c>
      <c r="O131" s="441"/>
      <c r="P131" s="441"/>
      <c r="Q131" s="441"/>
      <c r="R131" s="441"/>
      <c r="S131" s="397"/>
    </row>
    <row r="132" spans="1:19" ht="21" hidden="1" customHeight="1" x14ac:dyDescent="0.25">
      <c r="A132" s="1538"/>
      <c r="B132" s="1528"/>
      <c r="C132" s="1539"/>
      <c r="D132" s="1539"/>
      <c r="E132" s="1539"/>
      <c r="F132" s="1539"/>
      <c r="G132" s="461" t="str">
        <f>CONCATENATE("7.6.3 - ",'[1]7.7-Sinaliz.Obra.Arte'!E67," - (",'[1]7.7-Sinaliz.Obra.Arte'!F67,"x",'[1]7.7-Sinaliz.Obra.Arte'!G67,")m")</f>
        <v>7.6.3 - Marcador de alinhamento (amar.) - (0,5x0,6)m</v>
      </c>
      <c r="H132" s="458"/>
      <c r="I132" s="462"/>
      <c r="J132" s="460"/>
      <c r="K132" s="384" t="str">
        <f>'[1]7.7-Sinaliz.Obra.Arte'!L18</f>
        <v xml:space="preserve">un </v>
      </c>
      <c r="L132" s="380"/>
      <c r="M132" s="385">
        <f>'[1]7.7-Sinaliz.Obra.Arte'!L67</f>
        <v>372.03</v>
      </c>
      <c r="N132" s="386">
        <f t="shared" si="7"/>
        <v>0</v>
      </c>
      <c r="O132" s="441"/>
      <c r="P132" s="441"/>
      <c r="Q132" s="441"/>
      <c r="R132" s="441"/>
      <c r="S132" s="397"/>
    </row>
    <row r="133" spans="1:19" ht="27.9" hidden="1" customHeight="1" x14ac:dyDescent="0.25">
      <c r="A133" s="387" t="s">
        <v>211</v>
      </c>
      <c r="B133" s="383" t="str">
        <f>'[1]7.8-Mata.Burro'!L7</f>
        <v>7.8</v>
      </c>
      <c r="C133" s="1526" t="str">
        <f>'[1]7.8-Mata.Burro'!E18</f>
        <v>Mata burro com estrutura em perfis de aço e concreto (Incluso transporte) - Preencher os campos da DMT dessa composição</v>
      </c>
      <c r="D133" s="1526"/>
      <c r="E133" s="1526"/>
      <c r="F133" s="1526"/>
      <c r="G133" s="1526"/>
      <c r="H133" s="1526"/>
      <c r="I133" s="1526"/>
      <c r="J133" s="1526"/>
      <c r="K133" s="384" t="str">
        <f>'[1]7.8-Mata.Burro'!L18</f>
        <v xml:space="preserve">un </v>
      </c>
      <c r="L133" s="448">
        <f>ROUND('[1]Nota de serviço'!I127,2)</f>
        <v>0</v>
      </c>
      <c r="M133" s="385">
        <f>'[1]7.8-Mata.Burro'!L67</f>
        <v>5249.83</v>
      </c>
      <c r="N133" s="386">
        <f t="shared" si="7"/>
        <v>0</v>
      </c>
      <c r="O133" s="441"/>
      <c r="P133" s="441"/>
      <c r="Q133" s="441"/>
      <c r="R133" s="441"/>
      <c r="S133" s="397"/>
    </row>
    <row r="134" spans="1:19" ht="27.9" hidden="1" customHeight="1" x14ac:dyDescent="0.25">
      <c r="A134" s="387" t="s">
        <v>211</v>
      </c>
      <c r="B134" s="383" t="str">
        <f>'[1]7.9-Passagem.Molhada'!L7</f>
        <v>7.9</v>
      </c>
      <c r="C134" s="1526" t="str">
        <f>'[1]7.9-Passagem.Molhada'!E18</f>
        <v>Passagem molhada em alvenaria de pedra argamassada 1:4 (largura livre de 5,00 m), inclusive enrocamento de pedra de mão à jusante (largura mínima de 3,00 m)</v>
      </c>
      <c r="D134" s="1526"/>
      <c r="E134" s="1526"/>
      <c r="F134" s="1526"/>
      <c r="G134" s="1526"/>
      <c r="H134" s="1526"/>
      <c r="I134" s="1526"/>
      <c r="J134" s="1526"/>
      <c r="K134" s="384" t="str">
        <f>'[1]7.9-Passagem.Molhada'!L18</f>
        <v>m</v>
      </c>
      <c r="L134" s="448">
        <f>ROUND('[1]Nota de serviço'!I128,2)</f>
        <v>0</v>
      </c>
      <c r="M134" s="385">
        <f>'[1]7.9-Passagem.Molhada'!L67</f>
        <v>1507.86</v>
      </c>
      <c r="N134" s="386">
        <f t="shared" si="7"/>
        <v>0</v>
      </c>
      <c r="O134" s="441"/>
      <c r="P134" s="441"/>
      <c r="Q134" s="441"/>
      <c r="R134" s="441"/>
      <c r="S134" s="397"/>
    </row>
    <row r="135" spans="1:19" ht="27.9" hidden="1" customHeight="1" x14ac:dyDescent="0.25">
      <c r="A135" s="1538"/>
      <c r="B135" s="1528" t="str">
        <f>'[1]7.10-Sinaliz.Provisória'!L7</f>
        <v>7.10</v>
      </c>
      <c r="C135" s="1540" t="str">
        <f>'[1]7.10-Sinaliz.Provisória'!E18</f>
        <v>Conjunto de placas para sinalização provisória de execução de obras, com películas retrorrefletivas do tipo VIII e do tipo I + X, inclusive cavaletes</v>
      </c>
      <c r="D135" s="1540"/>
      <c r="E135" s="1541" t="str">
        <f>CONCATENATE("7.9.1 - ",'[1]7.10-Sinaliz.Provisória'!D49)</f>
        <v>7.9.1 - Placa refletiva de sinalização de obra (de Regulamentação, diâmetro de 0,60 m), película tipo I + X, inclusive cavalete - utilização 10 vezes</v>
      </c>
      <c r="F135" s="1541"/>
      <c r="G135" s="1541"/>
      <c r="H135" s="1541"/>
      <c r="I135" s="1541"/>
      <c r="J135" s="1541"/>
      <c r="K135" s="1532" t="str">
        <f>'[1]7.10-Sinaliz.Provisória'!L18</f>
        <v>cj</v>
      </c>
      <c r="L135" s="380">
        <v>0</v>
      </c>
      <c r="M135" s="1542">
        <f>'[1]7.10-Sinaliz.Provisória'!L68</f>
        <v>0</v>
      </c>
      <c r="N135" s="1543">
        <f>M135</f>
        <v>0</v>
      </c>
      <c r="O135" s="441"/>
      <c r="P135" s="441"/>
      <c r="Q135" s="441"/>
      <c r="R135" s="441"/>
      <c r="S135" s="397"/>
    </row>
    <row r="136" spans="1:19" ht="27.9" hidden="1" customHeight="1" x14ac:dyDescent="0.25">
      <c r="A136" s="1538"/>
      <c r="B136" s="1528"/>
      <c r="C136" s="1540"/>
      <c r="D136" s="1540"/>
      <c r="E136" s="1541" t="str">
        <f>CONCATENATE("7.9.2 - ",'[1]7.10-Sinaliz.Provisória'!D50)</f>
        <v>7.9.2 - Placa refletiva de sinalização de obra (de Regulamentação - [1,00 x 0,60]m), película tipo I + X, inclusive cavalete - utilização 10 vezes</v>
      </c>
      <c r="F136" s="1541"/>
      <c r="G136" s="1541"/>
      <c r="H136" s="1541"/>
      <c r="I136" s="1541"/>
      <c r="J136" s="1541"/>
      <c r="K136" s="1532"/>
      <c r="L136" s="380">
        <v>0</v>
      </c>
      <c r="M136" s="1542"/>
      <c r="N136" s="1543"/>
      <c r="O136" s="441"/>
      <c r="P136" s="441"/>
      <c r="Q136" s="441"/>
      <c r="R136" s="441"/>
      <c r="S136" s="397"/>
    </row>
    <row r="137" spans="1:19" ht="27.9" hidden="1" customHeight="1" x14ac:dyDescent="0.25">
      <c r="A137" s="1538"/>
      <c r="B137" s="1528"/>
      <c r="C137" s="1540"/>
      <c r="D137" s="1540"/>
      <c r="E137" s="1541" t="str">
        <f>CONCATENATE("7.9.3 - ",'[1]7.10-Sinaliz.Provisória'!D51)</f>
        <v>7.9.3 - Placa refletiva de sinalização de obra (Barreira de Sinalização Tipo II - [1,50 x 0,30]m), película tipo VIII, direcionamento ou bloqueio - utilização 10 vezes</v>
      </c>
      <c r="F137" s="1541"/>
      <c r="G137" s="1541"/>
      <c r="H137" s="1541"/>
      <c r="I137" s="1541"/>
      <c r="J137" s="1541"/>
      <c r="K137" s="1532"/>
      <c r="L137" s="380">
        <v>0</v>
      </c>
      <c r="M137" s="1542"/>
      <c r="N137" s="1543"/>
      <c r="O137" s="441"/>
      <c r="P137" s="441"/>
      <c r="Q137" s="441"/>
      <c r="R137" s="441"/>
      <c r="S137" s="397"/>
    </row>
    <row r="138" spans="1:19" ht="18" hidden="1" customHeight="1" x14ac:dyDescent="0.25">
      <c r="A138" s="387"/>
      <c r="B138" s="383" t="str">
        <f>'[1]7.11-Comp'!L7</f>
        <v>7.11</v>
      </c>
      <c r="C138" s="419" t="e">
        <f>'[1]7.11-Comp'!E18</f>
        <v>#REF!</v>
      </c>
      <c r="D138" s="388"/>
      <c r="E138" s="388"/>
      <c r="F138" s="388"/>
      <c r="G138" s="452"/>
      <c r="H138" s="388"/>
      <c r="I138" s="388"/>
      <c r="J138" s="454"/>
      <c r="K138" s="404" t="e">
        <f>'[1]7.11-Comp'!L18</f>
        <v>#REF!</v>
      </c>
      <c r="L138" s="380"/>
      <c r="M138" s="385">
        <f>'[1]7.11-Comp'!L69</f>
        <v>0</v>
      </c>
      <c r="N138" s="386">
        <f t="shared" ref="N138:N140" si="8">ROUND(L138*M138,2)</f>
        <v>0</v>
      </c>
      <c r="O138" s="441"/>
      <c r="P138" s="441"/>
      <c r="Q138" s="441"/>
      <c r="R138" s="441"/>
      <c r="S138" s="397"/>
    </row>
    <row r="139" spans="1:19" ht="18" hidden="1" customHeight="1" x14ac:dyDescent="0.25">
      <c r="A139" s="387"/>
      <c r="B139" s="383" t="str">
        <f>'[1]7.12-Comp'!L7</f>
        <v>7.12</v>
      </c>
      <c r="C139" s="419" t="e">
        <f>'[1]7.12-Comp'!E18</f>
        <v>#REF!</v>
      </c>
      <c r="D139" s="388"/>
      <c r="E139" s="388"/>
      <c r="F139" s="388"/>
      <c r="G139" s="452"/>
      <c r="H139" s="388"/>
      <c r="I139" s="388"/>
      <c r="J139" s="454"/>
      <c r="K139" s="404" t="e">
        <f>'[1]7.12-Comp'!L18</f>
        <v>#REF!</v>
      </c>
      <c r="L139" s="380"/>
      <c r="M139" s="385">
        <f>'[1]7.12-Comp'!L69</f>
        <v>0</v>
      </c>
      <c r="N139" s="386">
        <f t="shared" si="8"/>
        <v>0</v>
      </c>
      <c r="O139" s="441"/>
      <c r="P139" s="441"/>
      <c r="Q139" s="441"/>
      <c r="R139" s="441"/>
      <c r="S139" s="397"/>
    </row>
    <row r="140" spans="1:19" ht="18" hidden="1" customHeight="1" x14ac:dyDescent="0.25">
      <c r="A140" s="387"/>
      <c r="B140" s="383" t="str">
        <f>'[1]7.13-Comp'!L7</f>
        <v>7.13</v>
      </c>
      <c r="C140" s="419" t="e">
        <f>'[1]7.13-Comp'!E18</f>
        <v>#REF!</v>
      </c>
      <c r="D140" s="388"/>
      <c r="E140" s="388"/>
      <c r="F140" s="388"/>
      <c r="G140" s="452"/>
      <c r="H140" s="388"/>
      <c r="I140" s="388"/>
      <c r="J140" s="454"/>
      <c r="K140" s="404" t="e">
        <f>'[1]7.13-Comp'!L18</f>
        <v>#REF!</v>
      </c>
      <c r="L140" s="380"/>
      <c r="M140" s="385">
        <f>'[1]7.13-Comp'!L69</f>
        <v>0</v>
      </c>
      <c r="N140" s="386">
        <f t="shared" si="8"/>
        <v>0</v>
      </c>
      <c r="O140" s="441"/>
      <c r="P140" s="441"/>
      <c r="Q140" s="441"/>
      <c r="R140" s="441"/>
      <c r="S140" s="397"/>
    </row>
    <row r="141" spans="1:19" ht="9.9" customHeight="1" x14ac:dyDescent="0.25">
      <c r="A141" s="401"/>
      <c r="B141" s="406"/>
      <c r="C141" s="407"/>
      <c r="D141" s="407"/>
      <c r="E141" s="407"/>
      <c r="F141" s="407"/>
      <c r="G141" s="407"/>
      <c r="H141" s="407"/>
      <c r="I141" s="407"/>
      <c r="J141" s="407"/>
      <c r="K141" s="408"/>
      <c r="L141" s="409"/>
      <c r="M141" s="410"/>
      <c r="N141" s="411"/>
      <c r="O141" s="441"/>
      <c r="P141" s="441"/>
      <c r="Q141" s="441"/>
      <c r="R141" s="441"/>
      <c r="S141" s="397"/>
    </row>
    <row r="142" spans="1:19" ht="18" customHeight="1" x14ac:dyDescent="0.25">
      <c r="A142" s="368" t="s">
        <v>212</v>
      </c>
      <c r="B142" s="369" t="s">
        <v>213</v>
      </c>
      <c r="C142" s="369"/>
      <c r="D142" s="369"/>
      <c r="E142" s="369"/>
      <c r="F142" s="369"/>
      <c r="G142" s="369"/>
      <c r="H142" s="369"/>
      <c r="I142" s="369"/>
      <c r="J142" s="422"/>
      <c r="K142" s="370"/>
      <c r="L142" s="443"/>
      <c r="M142" s="423"/>
      <c r="N142" s="373">
        <f>SUM(N143:N152)</f>
        <v>299323.15000000002</v>
      </c>
      <c r="O142" s="441"/>
      <c r="P142" s="441"/>
      <c r="Q142" s="441"/>
      <c r="R142" s="441"/>
      <c r="S142" s="397"/>
    </row>
    <row r="143" spans="1:19" ht="18" customHeight="1" x14ac:dyDescent="0.25">
      <c r="A143" s="376"/>
      <c r="B143" s="377" t="str">
        <f>'[1]8.1-Esc.Cga.Mat.Jaz.'!L7</f>
        <v>8.1</v>
      </c>
      <c r="C143" s="378" t="str">
        <f>'[1]8.1-Esc.Cga.Mat.Jaz.'!E18</f>
        <v>Escavação e carga de material de jazida com escavadeira hidráulica</v>
      </c>
      <c r="D143" s="378"/>
      <c r="E143" s="378"/>
      <c r="F143" s="378"/>
      <c r="G143" s="378"/>
      <c r="H143" s="434" t="s">
        <v>214</v>
      </c>
      <c r="I143" s="1537" t="s">
        <v>215</v>
      </c>
      <c r="J143" s="1537"/>
      <c r="K143" s="464" t="str">
        <f>'[1]8.1-Esc.Cga.Mat.Jaz.'!L18</f>
        <v>m³</v>
      </c>
      <c r="L143" s="465">
        <f>IF(I143="1ª Categoria",(('[1]Nota de serviço'!E128+'[1]Nota de serviço'!E135)/2)*('[1]Nota de serviço'!E136*'[1]Nota de serviço'!P28*1000*'[1]Nota de serviço'!E137)*1,IF(I143="Solo (70%) + Brita (30%)",(('[1]Nota de serviço'!E128+'[1]Nota de serviço'!E135)/2)*('[1]Nota de serviço'!E136*'[1]Nota de serviço'!P28*1000*'[1]Nota de serviço'!E137)*1*0.77019,0))</f>
        <v>8056.5000000000009</v>
      </c>
      <c r="M143" s="448">
        <f>'8.1'!L56</f>
        <v>1.34</v>
      </c>
      <c r="N143" s="448">
        <f t="shared" ref="N143:N144" si="9">ROUND(L143*M143,2)</f>
        <v>10795.71</v>
      </c>
      <c r="O143" s="441"/>
      <c r="P143" s="441"/>
      <c r="Q143" s="441"/>
      <c r="R143" s="441"/>
      <c r="S143" s="397"/>
    </row>
    <row r="144" spans="1:19" ht="18" customHeight="1" x14ac:dyDescent="0.25">
      <c r="A144" s="398"/>
      <c r="B144" s="427" t="str">
        <f>'[1]8.2-Transp.LN'!L7</f>
        <v>8.2</v>
      </c>
      <c r="C144" s="466" t="str">
        <f>'[1]8.2-Transp.LN'!E18</f>
        <v>Transporte com caminhão basculante de 10 m³ - rodovia em leito natural</v>
      </c>
      <c r="D144" s="466"/>
      <c r="E144" s="466"/>
      <c r="F144" s="466"/>
      <c r="G144" s="466"/>
      <c r="H144" s="466"/>
      <c r="I144" s="466"/>
      <c r="J144" s="467"/>
      <c r="K144" s="1545" t="str">
        <f>'[1]8.2-Transp.LN'!L18</f>
        <v>t x km</v>
      </c>
      <c r="L144" s="1546">
        <f>ROUND(L143*G145*D145*(1+J145),2)</f>
        <v>250959.98</v>
      </c>
      <c r="M144" s="1547">
        <f>'8.2'!L55</f>
        <v>1.02</v>
      </c>
      <c r="N144" s="1547">
        <f t="shared" si="9"/>
        <v>255979.18</v>
      </c>
      <c r="O144" s="441"/>
      <c r="P144" s="441"/>
      <c r="Q144" s="441"/>
      <c r="R144" s="441"/>
      <c r="S144" s="397"/>
    </row>
    <row r="145" spans="1:19" ht="18" customHeight="1" x14ac:dyDescent="0.25">
      <c r="A145" s="376"/>
      <c r="B145" s="377"/>
      <c r="C145" s="431" t="s">
        <v>184</v>
      </c>
      <c r="D145" s="432">
        <v>14</v>
      </c>
      <c r="E145" s="469"/>
      <c r="F145" s="431" t="s">
        <v>185</v>
      </c>
      <c r="G145" s="432">
        <v>1.78</v>
      </c>
      <c r="H145" s="434"/>
      <c r="I145" s="431" t="s">
        <v>186</v>
      </c>
      <c r="J145" s="435">
        <v>0.25</v>
      </c>
      <c r="K145" s="1545" t="e">
        <f>'[1]8.2-Transp.LN'!L19</f>
        <v>#REF!</v>
      </c>
      <c r="L145" s="1546"/>
      <c r="M145" s="1547"/>
      <c r="N145" s="1547"/>
      <c r="O145" s="441"/>
      <c r="P145" s="441"/>
      <c r="Q145" s="441"/>
      <c r="R145" s="441"/>
      <c r="S145" s="397"/>
    </row>
    <row r="146" spans="1:19" ht="18" hidden="1" customHeight="1" x14ac:dyDescent="0.25">
      <c r="A146" s="398"/>
      <c r="B146" s="427" t="str">
        <f>'[1]8.3-Transp.RP'!L7</f>
        <v>8.3</v>
      </c>
      <c r="C146" s="466" t="str">
        <f>'[1]8.3-Transp.RP'!E18</f>
        <v>Transporte com caminhão basculante de 10 m³ - rodovia com revestimento primário</v>
      </c>
      <c r="D146" s="466"/>
      <c r="E146" s="466"/>
      <c r="F146" s="466"/>
      <c r="G146" s="466"/>
      <c r="H146" s="466"/>
      <c r="I146" s="466"/>
      <c r="J146" s="467"/>
      <c r="K146" s="1545" t="str">
        <f>'[1]8.3-Transp.RP'!L18</f>
        <v>t x km</v>
      </c>
      <c r="L146" s="1546">
        <f>ROUND(L143*G147*D147*(1+J147),2)</f>
        <v>0</v>
      </c>
      <c r="M146" s="1547">
        <f>'[1]8.3-Transp.RP'!L66</f>
        <v>0.81</v>
      </c>
      <c r="N146" s="1547">
        <f>ROUND(L146*M146,2)</f>
        <v>0</v>
      </c>
      <c r="O146" s="441"/>
      <c r="P146" s="441"/>
      <c r="Q146" s="441"/>
      <c r="R146" s="441"/>
      <c r="S146" s="397"/>
    </row>
    <row r="147" spans="1:19" ht="18" hidden="1" customHeight="1" x14ac:dyDescent="0.25">
      <c r="A147" s="376"/>
      <c r="B147" s="377"/>
      <c r="C147" s="431" t="s">
        <v>184</v>
      </c>
      <c r="D147" s="432">
        <v>0</v>
      </c>
      <c r="E147" s="433"/>
      <c r="F147" s="431" t="s">
        <v>185</v>
      </c>
      <c r="G147" s="432">
        <v>1.78</v>
      </c>
      <c r="H147" s="434"/>
      <c r="I147" s="431" t="s">
        <v>186</v>
      </c>
      <c r="J147" s="435">
        <v>0.25</v>
      </c>
      <c r="K147" s="1545" t="e">
        <f>'[1]8.3-Transp.RP'!L19</f>
        <v>#REF!</v>
      </c>
      <c r="L147" s="1546"/>
      <c r="M147" s="1547"/>
      <c r="N147" s="1547"/>
      <c r="O147" s="441"/>
      <c r="P147" s="441"/>
      <c r="Q147" s="441"/>
      <c r="R147" s="441"/>
      <c r="S147" s="397"/>
    </row>
    <row r="148" spans="1:19" ht="30" customHeight="1" x14ac:dyDescent="0.25">
      <c r="A148" s="387"/>
      <c r="B148" s="383" t="s">
        <v>216</v>
      </c>
      <c r="C148" s="1526" t="str">
        <f>'[1]8.4-Cpct.Aterro'!E18</f>
        <v>Compactação de material de revestimento a 95 % do proctor normal (inclusos o espalhamento e a conformação da plataforma)</v>
      </c>
      <c r="D148" s="1526"/>
      <c r="E148" s="1526"/>
      <c r="F148" s="1526"/>
      <c r="G148" s="1526"/>
      <c r="H148" s="1526"/>
      <c r="I148" s="1526"/>
      <c r="J148" s="1526"/>
      <c r="K148" s="468" t="str">
        <f>'[1]8.4-Cpct.Aterro'!L18</f>
        <v>m³</v>
      </c>
      <c r="L148" s="470">
        <f>IF(I143="1ª Categoria",(('[1]Nota de serviço'!E128+'[1]Nota de serviço'!E135)/2)*('[1]Nota de serviço'!E136*'[1]Nota de serviço'!P28*1000*'[1]Nota de serviço'!E137)*1,0)</f>
        <v>8056.5000000000009</v>
      </c>
      <c r="M148" s="471">
        <f>'8.3'!L59</f>
        <v>4.04</v>
      </c>
      <c r="N148" s="438">
        <f t="shared" ref="N148:N151" si="10">ROUND(L148*M148,2)</f>
        <v>32548.26</v>
      </c>
      <c r="O148" s="441"/>
      <c r="P148" s="441"/>
      <c r="Q148" s="441"/>
      <c r="R148" s="441"/>
      <c r="S148" s="397"/>
    </row>
    <row r="149" spans="1:19" ht="27.9" hidden="1" customHeight="1" x14ac:dyDescent="0.25">
      <c r="A149" s="387"/>
      <c r="B149" s="383" t="str">
        <f>'[1]8.5-Solo.Brita'!L7</f>
        <v>8.5</v>
      </c>
      <c r="C149" s="1526" t="str">
        <f>'[1]8.5-Solo.Brita'!E18</f>
        <v>Base estabilizada granulometricamente com mistura solo brita (70% - 30%) na pista com material de jazida e brita comercial (inclusos o espalhamento, a conformação e a compactação da plataforma)</v>
      </c>
      <c r="D149" s="1526"/>
      <c r="E149" s="1526"/>
      <c r="F149" s="1526"/>
      <c r="G149" s="1526"/>
      <c r="H149" s="1526"/>
      <c r="I149" s="1526"/>
      <c r="J149" s="1526"/>
      <c r="K149" s="468" t="str">
        <f>'[1]8.5-Solo.Brita'!L18</f>
        <v>m³</v>
      </c>
      <c r="L149" s="470">
        <f>IF(I143="Solo (70%) + Brita (30%)",(('[1]Nota de serviço'!E128+'[1]Nota de serviço'!E135)/2)*('[1]Nota de serviço'!E136*'[1]Nota de serviço'!P28*1000*'[1]Nota de serviço'!E137),0)</f>
        <v>0</v>
      </c>
      <c r="M149" s="385">
        <f>'[1]8.5-Solo.Brita'!L66</f>
        <v>50.51</v>
      </c>
      <c r="N149" s="386">
        <f t="shared" si="10"/>
        <v>0</v>
      </c>
      <c r="O149" s="441"/>
      <c r="P149" s="441"/>
      <c r="Q149" s="441"/>
      <c r="R149" s="441"/>
      <c r="S149" s="397"/>
    </row>
    <row r="150" spans="1:19" ht="18" hidden="1" customHeight="1" x14ac:dyDescent="0.25">
      <c r="A150" s="387"/>
      <c r="B150" s="383" t="str">
        <f>'[1]8.6-Comp'!L7</f>
        <v>8.6</v>
      </c>
      <c r="C150" s="419" t="e">
        <f>'[1]8.6-Comp'!E18</f>
        <v>#REF!</v>
      </c>
      <c r="D150" s="405"/>
      <c r="E150" s="405"/>
      <c r="F150" s="405"/>
      <c r="G150" s="405"/>
      <c r="H150" s="472"/>
      <c r="I150" s="388"/>
      <c r="J150" s="455"/>
      <c r="K150" s="404" t="e">
        <f>'[1]8.6-Comp'!L18</f>
        <v>#REF!</v>
      </c>
      <c r="L150" s="380"/>
      <c r="M150" s="385">
        <f>'[1]8.6-Comp'!L69</f>
        <v>0</v>
      </c>
      <c r="N150" s="386">
        <f t="shared" si="10"/>
        <v>0</v>
      </c>
      <c r="O150" s="441"/>
      <c r="P150" s="441"/>
      <c r="Q150" s="441"/>
      <c r="R150" s="441"/>
      <c r="S150" s="397"/>
    </row>
    <row r="151" spans="1:19" ht="18" hidden="1" customHeight="1" x14ac:dyDescent="0.25">
      <c r="A151" s="387"/>
      <c r="B151" s="383" t="str">
        <f>'[1]8.7-Comp'!L7</f>
        <v>8.7</v>
      </c>
      <c r="C151" s="419" t="e">
        <f>'[1]8.7-Comp'!E18</f>
        <v>#REF!</v>
      </c>
      <c r="D151" s="405"/>
      <c r="E151" s="405"/>
      <c r="F151" s="405"/>
      <c r="G151" s="405"/>
      <c r="H151" s="472"/>
      <c r="I151" s="388"/>
      <c r="J151" s="455"/>
      <c r="K151" s="404" t="e">
        <f>'[1]8.7-Comp'!L18</f>
        <v>#REF!</v>
      </c>
      <c r="L151" s="380"/>
      <c r="M151" s="385">
        <f>'[1]8.7-Comp'!L69</f>
        <v>0</v>
      </c>
      <c r="N151" s="386">
        <f t="shared" si="10"/>
        <v>0</v>
      </c>
      <c r="O151" s="441"/>
      <c r="P151" s="441"/>
      <c r="Q151" s="441"/>
      <c r="R151" s="441"/>
      <c r="S151" s="397"/>
    </row>
    <row r="152" spans="1:19" ht="9.9" customHeight="1" x14ac:dyDescent="0.25">
      <c r="A152" s="401"/>
      <c r="B152" s="406"/>
      <c r="C152" s="407"/>
      <c r="D152" s="407"/>
      <c r="E152" s="407"/>
      <c r="F152" s="407"/>
      <c r="G152" s="407"/>
      <c r="H152" s="407"/>
      <c r="I152" s="407"/>
      <c r="J152" s="407"/>
      <c r="K152" s="408"/>
      <c r="L152" s="409"/>
      <c r="M152" s="410"/>
      <c r="N152" s="411"/>
      <c r="O152" s="441"/>
      <c r="P152" s="441"/>
      <c r="Q152" s="441"/>
      <c r="R152" s="441"/>
      <c r="S152" s="397"/>
    </row>
    <row r="153" spans="1:19" ht="18" customHeight="1" x14ac:dyDescent="0.25">
      <c r="A153" s="368" t="s">
        <v>217</v>
      </c>
      <c r="B153" s="369" t="s">
        <v>218</v>
      </c>
      <c r="C153" s="369"/>
      <c r="D153" s="369"/>
      <c r="E153" s="369"/>
      <c r="F153" s="369"/>
      <c r="G153" s="369"/>
      <c r="H153" s="369"/>
      <c r="I153" s="369"/>
      <c r="J153" s="422"/>
      <c r="K153" s="370"/>
      <c r="L153" s="443"/>
      <c r="M153" s="423"/>
      <c r="N153" s="373">
        <f>SUM(N154:N160)</f>
        <v>15500</v>
      </c>
      <c r="O153" s="441"/>
      <c r="P153" s="441"/>
      <c r="Q153" s="441"/>
      <c r="R153" s="441"/>
      <c r="S153" s="397"/>
    </row>
    <row r="154" spans="1:19" ht="18" customHeight="1" x14ac:dyDescent="0.25">
      <c r="A154" s="376"/>
      <c r="B154" s="377" t="str">
        <f>'[1]9.1-Preenc.Mat.Org.Fx.Domínio'!L7</f>
        <v>9.1</v>
      </c>
      <c r="C154" s="473" t="str">
        <f>'[1]9.1-Preenc.Mat.Org.Fx.Domínio'!E18</f>
        <v>Prenchimento da jazida com material orgânico proveniente do seu decapeamento</v>
      </c>
      <c r="D154" s="473"/>
      <c r="E154" s="473"/>
      <c r="F154" s="473"/>
      <c r="G154" s="473"/>
      <c r="H154" s="473"/>
      <c r="I154" s="473"/>
      <c r="J154" s="474"/>
      <c r="K154" s="379" t="str">
        <f>'[1]9.1-Preenc.Mat.Org.Fx.Domínio'!L18</f>
        <v>m³</v>
      </c>
      <c r="L154" s="470">
        <f>L70</f>
        <v>2000</v>
      </c>
      <c r="M154" s="417">
        <f>'9.1'!L56</f>
        <v>0.45</v>
      </c>
      <c r="N154" s="382">
        <f>ROUND(L154*M154,2)</f>
        <v>900</v>
      </c>
      <c r="O154" s="441"/>
      <c r="P154" s="441"/>
      <c r="Q154" s="441"/>
      <c r="R154" s="441"/>
      <c r="S154" s="397"/>
    </row>
    <row r="155" spans="1:19" ht="18" customHeight="1" x14ac:dyDescent="0.25">
      <c r="A155" s="387"/>
      <c r="B155" s="383" t="str">
        <f>'[1]9.2-Semeadura manual'!L7</f>
        <v>9.2</v>
      </c>
      <c r="C155" s="378" t="str">
        <f>'[1]9.2-Semeadura manual'!E18</f>
        <v>Semeadura manual (pó calcário, adubos NPK, orgânico, potássio, fósforo enxofre e sementes)</v>
      </c>
      <c r="D155" s="378"/>
      <c r="E155" s="378"/>
      <c r="F155" s="378"/>
      <c r="G155" s="378"/>
      <c r="H155" s="378"/>
      <c r="I155" s="378"/>
      <c r="J155" s="378"/>
      <c r="K155" s="384" t="str">
        <f>'[1]9.2-Semeadura manual'!L18</f>
        <v>m²</v>
      </c>
      <c r="L155" s="470">
        <f>ROUND('[1]Plan. de campo'!E36,2)</f>
        <v>10000</v>
      </c>
      <c r="M155" s="385">
        <f>'9.2'!L70</f>
        <v>1.46</v>
      </c>
      <c r="N155" s="386">
        <f>L155*M155</f>
        <v>14600</v>
      </c>
      <c r="O155" s="441"/>
      <c r="P155" s="441"/>
      <c r="Q155" s="441"/>
      <c r="R155" s="441"/>
      <c r="S155" s="397"/>
    </row>
    <row r="156" spans="1:19" ht="18" hidden="1" customHeight="1" x14ac:dyDescent="0.25">
      <c r="A156" s="387"/>
      <c r="B156" s="383" t="str">
        <f>'[1]9.3-Comp'!L7</f>
        <v>9.3</v>
      </c>
      <c r="C156" s="419" t="e">
        <f>'[1]9.3-Comp'!E18</f>
        <v>#REF!</v>
      </c>
      <c r="D156" s="405"/>
      <c r="E156" s="405"/>
      <c r="F156" s="405"/>
      <c r="G156" s="405"/>
      <c r="H156" s="405"/>
      <c r="I156" s="405"/>
      <c r="J156" s="454"/>
      <c r="K156" s="463" t="e">
        <f>'[1]9.3-Comp'!L18</f>
        <v>#REF!</v>
      </c>
      <c r="L156" s="380"/>
      <c r="M156" s="385">
        <f>'[1]9.3-Comp'!L69</f>
        <v>0</v>
      </c>
      <c r="N156" s="386">
        <f t="shared" ref="N156:N158" si="11">ROUND(L156*M156,2)</f>
        <v>0</v>
      </c>
      <c r="O156" s="441"/>
      <c r="P156" s="441"/>
      <c r="Q156" s="441"/>
      <c r="R156" s="441"/>
      <c r="S156" s="397"/>
    </row>
    <row r="157" spans="1:19" ht="18" hidden="1" customHeight="1" x14ac:dyDescent="0.25">
      <c r="A157" s="387"/>
      <c r="B157" s="383" t="str">
        <f>'[1]9.4-Comp'!L7</f>
        <v>9.4</v>
      </c>
      <c r="C157" s="419" t="e">
        <f>'[1]9.4-Comp'!E18</f>
        <v>#REF!</v>
      </c>
      <c r="D157" s="405"/>
      <c r="E157" s="405"/>
      <c r="F157" s="405"/>
      <c r="G157" s="405"/>
      <c r="H157" s="405"/>
      <c r="I157" s="405"/>
      <c r="J157" s="454"/>
      <c r="K157" s="463" t="e">
        <f>'[1]9.4-Comp'!L18</f>
        <v>#REF!</v>
      </c>
      <c r="L157" s="380"/>
      <c r="M157" s="385">
        <f>'[1]9.4-Comp'!L69</f>
        <v>0</v>
      </c>
      <c r="N157" s="386">
        <f t="shared" si="11"/>
        <v>0</v>
      </c>
      <c r="O157" s="441"/>
      <c r="P157" s="441"/>
      <c r="Q157" s="441"/>
      <c r="R157" s="441"/>
      <c r="S157" s="397"/>
    </row>
    <row r="158" spans="1:19" ht="18" hidden="1" customHeight="1" x14ac:dyDescent="0.25">
      <c r="A158" s="387"/>
      <c r="B158" s="383" t="str">
        <f>'[1]9.5-Comp'!L7</f>
        <v>9.5</v>
      </c>
      <c r="C158" s="419" t="e">
        <f>'[1]9.5-Comp'!E18</f>
        <v>#REF!</v>
      </c>
      <c r="D158" s="405"/>
      <c r="E158" s="405"/>
      <c r="F158" s="405"/>
      <c r="G158" s="405"/>
      <c r="H158" s="405"/>
      <c r="I158" s="405"/>
      <c r="J158" s="454"/>
      <c r="K158" s="463" t="e">
        <f>'[1]9.5-Comp'!L18</f>
        <v>#REF!</v>
      </c>
      <c r="L158" s="380"/>
      <c r="M158" s="385">
        <f>'[1]9.5-Comp'!L69</f>
        <v>0</v>
      </c>
      <c r="N158" s="386">
        <f t="shared" si="11"/>
        <v>0</v>
      </c>
      <c r="O158" s="441"/>
      <c r="P158" s="441"/>
      <c r="Q158" s="441"/>
      <c r="R158" s="441"/>
      <c r="S158" s="397"/>
    </row>
    <row r="159" spans="1:19" ht="9.9" customHeight="1" x14ac:dyDescent="0.25">
      <c r="A159" s="475"/>
      <c r="B159" s="476"/>
      <c r="C159" s="477"/>
      <c r="D159" s="478"/>
      <c r="E159" s="478"/>
      <c r="F159" s="478"/>
      <c r="G159" s="478"/>
      <c r="H159" s="478"/>
      <c r="I159" s="478"/>
      <c r="J159" s="479"/>
      <c r="K159" s="480"/>
      <c r="L159" s="481"/>
      <c r="M159" s="482"/>
      <c r="N159" s="483"/>
      <c r="O159" s="441"/>
      <c r="P159" s="441"/>
      <c r="Q159" s="441"/>
      <c r="R159" s="441"/>
      <c r="S159" s="397"/>
    </row>
    <row r="160" spans="1:19" ht="7.5" customHeight="1" x14ac:dyDescent="0.25">
      <c r="A160" s="484"/>
      <c r="B160" s="485"/>
      <c r="C160" s="485"/>
      <c r="D160" s="485"/>
      <c r="E160" s="485"/>
      <c r="F160" s="485"/>
      <c r="G160" s="485"/>
      <c r="H160" s="485"/>
      <c r="I160" s="485"/>
      <c r="J160" s="485"/>
      <c r="K160" s="484"/>
      <c r="L160" s="486"/>
      <c r="M160" s="486"/>
      <c r="N160" s="487"/>
      <c r="O160" s="397"/>
      <c r="P160" s="397"/>
      <c r="Q160" s="397"/>
      <c r="R160" s="397"/>
      <c r="S160" s="397"/>
    </row>
    <row r="161" spans="1:19" ht="22.5" customHeight="1" x14ac:dyDescent="0.25">
      <c r="A161" s="1548" t="s">
        <v>219</v>
      </c>
      <c r="B161" s="1548"/>
      <c r="C161" s="1548"/>
      <c r="D161" s="1548"/>
      <c r="E161" s="1548"/>
      <c r="F161" s="1548"/>
      <c r="G161" s="1548"/>
      <c r="H161" s="1548"/>
      <c r="I161" s="1548"/>
      <c r="J161" s="1548"/>
      <c r="K161" s="1548"/>
      <c r="L161" s="1548"/>
      <c r="M161" s="1548"/>
      <c r="N161" s="488">
        <f>N13+N20+N36+N40+N50+N79+N123+N142+N153</f>
        <v>1497947.8191999998</v>
      </c>
      <c r="O161" s="397"/>
      <c r="P161" s="397"/>
      <c r="Q161" s="489"/>
      <c r="R161" s="397"/>
      <c r="S161" s="397"/>
    </row>
    <row r="162" spans="1:19" ht="6" customHeight="1" x14ac:dyDescent="0.25">
      <c r="A162" s="490"/>
      <c r="B162" s="117"/>
      <c r="C162" s="490"/>
      <c r="D162" s="490"/>
      <c r="E162" s="490"/>
      <c r="F162" s="490"/>
      <c r="G162" s="490"/>
      <c r="H162" s="490"/>
      <c r="I162" s="490"/>
      <c r="J162" s="490"/>
      <c r="K162" s="490"/>
      <c r="L162" s="490"/>
      <c r="M162" s="490"/>
      <c r="N162" s="491"/>
      <c r="O162" s="397"/>
      <c r="P162" s="397"/>
      <c r="Q162" s="397"/>
      <c r="R162" s="397"/>
      <c r="S162" s="397"/>
    </row>
    <row r="163" spans="1:19" ht="17.25" customHeight="1" x14ac:dyDescent="0.25">
      <c r="A163" s="1549" t="s">
        <v>220</v>
      </c>
      <c r="B163" s="1549"/>
      <c r="C163" s="1549"/>
      <c r="D163" s="1549"/>
      <c r="E163" s="1549"/>
      <c r="F163" s="1549"/>
      <c r="G163" s="1549"/>
      <c r="H163" s="1549"/>
      <c r="I163" s="1549"/>
      <c r="J163" s="1549"/>
      <c r="K163" s="1549"/>
      <c r="L163" s="1549"/>
      <c r="M163" s="1549"/>
      <c r="N163" s="488">
        <f>N161/13.1</f>
        <v>114347.16177099236</v>
      </c>
      <c r="O163" s="397"/>
      <c r="P163" s="397"/>
      <c r="Q163" s="397"/>
      <c r="R163" s="397"/>
      <c r="S163" s="397"/>
    </row>
    <row r="164" spans="1:19" ht="6" customHeight="1" x14ac:dyDescent="0.25">
      <c r="A164" s="492"/>
      <c r="B164" s="493"/>
      <c r="C164" s="494"/>
      <c r="D164" s="494"/>
      <c r="E164" s="494"/>
      <c r="F164" s="494"/>
      <c r="G164" s="494"/>
      <c r="H164" s="494"/>
      <c r="I164" s="494"/>
      <c r="J164" s="494"/>
      <c r="K164" s="494"/>
      <c r="L164" s="494"/>
      <c r="M164" s="494"/>
      <c r="N164" s="495"/>
      <c r="O164" s="397"/>
      <c r="P164" s="397"/>
      <c r="Q164" s="397"/>
      <c r="R164" s="397"/>
      <c r="S164" s="397"/>
    </row>
    <row r="165" spans="1:19" s="349" customFormat="1" ht="30" customHeight="1" x14ac:dyDescent="0.25">
      <c r="A165" s="496" t="s">
        <v>221</v>
      </c>
      <c r="B165" s="497"/>
      <c r="C165" s="1544" t="s">
        <v>222</v>
      </c>
      <c r="D165" s="1544"/>
      <c r="E165" s="1544"/>
      <c r="F165" s="1544"/>
      <c r="G165" s="1544"/>
      <c r="H165" s="1544"/>
      <c r="I165" s="1544"/>
      <c r="J165" s="1544"/>
      <c r="K165" s="1544"/>
      <c r="L165" s="1544"/>
      <c r="M165" s="1544"/>
      <c r="N165" s="1544"/>
    </row>
    <row r="166" spans="1:19" s="349" customFormat="1" ht="32.1" customHeight="1" x14ac:dyDescent="0.25">
      <c r="A166" s="498"/>
      <c r="B166" s="497"/>
      <c r="C166" s="1544" t="s">
        <v>223</v>
      </c>
      <c r="D166" s="1544"/>
      <c r="E166" s="1544"/>
      <c r="F166" s="1544"/>
      <c r="G166" s="1544"/>
      <c r="H166" s="1544"/>
      <c r="I166" s="1544"/>
      <c r="J166" s="1544"/>
      <c r="K166" s="1544"/>
      <c r="L166" s="1544"/>
      <c r="M166" s="1544"/>
      <c r="N166" s="1544"/>
      <c r="Q166" s="1784">
        <v>1503387.76</v>
      </c>
      <c r="S166" s="349">
        <v>100</v>
      </c>
    </row>
    <row r="167" spans="1:19" s="349" customFormat="1" ht="47.4" customHeight="1" x14ac:dyDescent="0.25">
      <c r="A167" s="498"/>
      <c r="B167" s="497"/>
      <c r="C167" s="1544" t="s">
        <v>224</v>
      </c>
      <c r="D167" s="1544"/>
      <c r="E167" s="1544"/>
      <c r="F167" s="1544"/>
      <c r="G167" s="1544"/>
      <c r="H167" s="1544"/>
      <c r="I167" s="1544"/>
      <c r="J167" s="1544"/>
      <c r="K167" s="1544"/>
      <c r="L167" s="1544"/>
      <c r="M167" s="1544"/>
      <c r="N167" s="1544"/>
      <c r="Q167" s="349">
        <v>1497947.82</v>
      </c>
      <c r="S167" s="349">
        <v>10</v>
      </c>
    </row>
    <row r="168" spans="1:19" ht="18" customHeight="1" x14ac:dyDescent="0.25">
      <c r="A168" s="490"/>
      <c r="B168" s="1550"/>
      <c r="C168" s="1550"/>
      <c r="D168" s="1550"/>
      <c r="E168" s="1550"/>
      <c r="F168" s="1550"/>
      <c r="G168" s="1550"/>
      <c r="H168" s="1550"/>
      <c r="I168" s="1550"/>
      <c r="J168" s="499" t="s">
        <v>215</v>
      </c>
      <c r="K168" s="500"/>
      <c r="L168" s="501" t="s">
        <v>225</v>
      </c>
      <c r="M168" s="502"/>
      <c r="N168" s="501">
        <f>(N16+N17)+N40+N50+N79+N123+N142+N153</f>
        <v>1398188.2692</v>
      </c>
      <c r="Q168" s="1784">
        <f>Q166-Q167</f>
        <v>5439.9399999999441</v>
      </c>
      <c r="S168" s="1784">
        <v>150388.76999999999</v>
      </c>
    </row>
    <row r="169" spans="1:19" x14ac:dyDescent="0.25">
      <c r="A169" s="503"/>
      <c r="B169" s="503"/>
      <c r="C169" s="504"/>
      <c r="D169" s="503"/>
      <c r="E169" s="503"/>
      <c r="F169" s="505"/>
      <c r="G169" s="503"/>
      <c r="H169" s="503"/>
      <c r="I169" s="503"/>
      <c r="J169" s="503"/>
      <c r="K169" s="506"/>
      <c r="L169" s="503"/>
      <c r="M169" s="503"/>
      <c r="N169" s="503"/>
    </row>
    <row r="170" spans="1:19" x14ac:dyDescent="0.25">
      <c r="A170" s="503"/>
      <c r="B170" s="503"/>
      <c r="C170" s="504"/>
      <c r="D170" s="503"/>
      <c r="E170" s="503"/>
      <c r="F170" s="503"/>
      <c r="G170" s="503"/>
      <c r="H170" s="503"/>
      <c r="I170" s="1551"/>
      <c r="J170" s="1551"/>
      <c r="K170" s="1551"/>
      <c r="L170" s="1551"/>
      <c r="M170" s="503"/>
      <c r="N170" s="503"/>
    </row>
    <row r="171" spans="1:19" x14ac:dyDescent="0.25">
      <c r="A171" s="503"/>
      <c r="B171" s="503"/>
      <c r="C171" s="503"/>
      <c r="D171" s="503"/>
      <c r="E171" s="503"/>
      <c r="F171" s="503"/>
      <c r="G171" s="503"/>
      <c r="H171" s="503"/>
      <c r="I171" s="1552"/>
      <c r="J171" s="1552"/>
      <c r="K171" s="1552"/>
      <c r="L171" s="1552"/>
      <c r="M171" s="503"/>
      <c r="N171" s="503"/>
    </row>
    <row r="172" spans="1:19" x14ac:dyDescent="0.25">
      <c r="A172" s="503"/>
      <c r="B172" s="503"/>
      <c r="C172" s="503"/>
      <c r="D172" s="503"/>
      <c r="E172" s="503"/>
      <c r="F172" s="503"/>
      <c r="G172" s="503"/>
      <c r="H172" s="503"/>
      <c r="I172" s="1553"/>
      <c r="J172" s="1553"/>
      <c r="K172" s="1553"/>
      <c r="L172" s="1553"/>
      <c r="M172" s="503"/>
      <c r="N172" s="503"/>
    </row>
    <row r="173" spans="1:19" ht="48.75" customHeight="1" x14ac:dyDescent="0.25"/>
  </sheetData>
  <sheetProtection selectLockedCells="1" selectUnlockedCells="1"/>
  <mergeCells count="65">
    <mergeCell ref="A10:N10"/>
    <mergeCell ref="C167:N167"/>
    <mergeCell ref="B168:I168"/>
    <mergeCell ref="I170:L170"/>
    <mergeCell ref="I171:L171"/>
    <mergeCell ref="I172:L172"/>
    <mergeCell ref="C166:N166"/>
    <mergeCell ref="K144:K145"/>
    <mergeCell ref="L144:L145"/>
    <mergeCell ref="M144:M145"/>
    <mergeCell ref="N144:N145"/>
    <mergeCell ref="K146:K147"/>
    <mergeCell ref="L146:L147"/>
    <mergeCell ref="M146:M147"/>
    <mergeCell ref="N146:N147"/>
    <mergeCell ref="C148:J148"/>
    <mergeCell ref="C149:J149"/>
    <mergeCell ref="A161:M161"/>
    <mergeCell ref="A163:M163"/>
    <mergeCell ref="C165:N165"/>
    <mergeCell ref="K135:K137"/>
    <mergeCell ref="M135:M137"/>
    <mergeCell ref="N135:N137"/>
    <mergeCell ref="E136:J136"/>
    <mergeCell ref="E137:J137"/>
    <mergeCell ref="I143:J143"/>
    <mergeCell ref="A130:A132"/>
    <mergeCell ref="B130:B132"/>
    <mergeCell ref="C130:F132"/>
    <mergeCell ref="C133:J133"/>
    <mergeCell ref="C134:J134"/>
    <mergeCell ref="A135:A137"/>
    <mergeCell ref="B135:B137"/>
    <mergeCell ref="C135:D137"/>
    <mergeCell ref="E135:J135"/>
    <mergeCell ref="C129:J129"/>
    <mergeCell ref="C58:J58"/>
    <mergeCell ref="K61:K62"/>
    <mergeCell ref="L61:L62"/>
    <mergeCell ref="M61:M62"/>
    <mergeCell ref="K80:N80"/>
    <mergeCell ref="C124:J124"/>
    <mergeCell ref="C125:J125"/>
    <mergeCell ref="C126:J126"/>
    <mergeCell ref="C128:J128"/>
    <mergeCell ref="N61:N62"/>
    <mergeCell ref="K63:K64"/>
    <mergeCell ref="L63:L64"/>
    <mergeCell ref="M63:M64"/>
    <mergeCell ref="N63:N64"/>
    <mergeCell ref="C56:J56"/>
    <mergeCell ref="A11:J11"/>
    <mergeCell ref="C21:J21"/>
    <mergeCell ref="C22:J22"/>
    <mergeCell ref="B23:B26"/>
    <mergeCell ref="C23:G26"/>
    <mergeCell ref="H23:I23"/>
    <mergeCell ref="H24:I24"/>
    <mergeCell ref="H25:I25"/>
    <mergeCell ref="H26:I26"/>
    <mergeCell ref="C52:J52"/>
    <mergeCell ref="C53:J53"/>
    <mergeCell ref="C54:J54"/>
    <mergeCell ref="C55:J55"/>
    <mergeCell ref="D5:N5"/>
  </mergeCells>
  <dataValidations count="6">
    <dataValidation allowBlank="1" showInputMessage="1" showErrorMessage="1" prompt="Clique duas vezes sobre a descrição para ser direcionado à respectiva composição." sqref="C14:C17 C21:J22 C23:G26 C27:C31 C41:C45 C51:C57 D52:J56 C58:J58 C59:C61 C63 C65:C73 C81:C98 C117:C118 C124:J126 C127:C137 D128:J129 D130:F132 D133:J134 D135:D137 C143:C144 C146 C148:J149 C154:C155" xr:uid="{00000000-0002-0000-0200-000000000000}">
      <formula1>0</formula1>
      <formula2>0</formula2>
    </dataValidation>
    <dataValidation allowBlank="1" showInputMessage="1" showErrorMessage="1" prompt="A quantidade deve estar vinculada ao cronograma de execução da obra._x000a_Preencher taxas na aba &quot;1.2 - Canteiro&quot;, nas células I 51 a I 55." sqref="D15:J15 E16:J16 C37:J38" xr:uid="{00000000-0002-0000-0200-000001000000}">
      <formula1>0</formula1>
      <formula2>0</formula2>
    </dataValidation>
    <dataValidation type="list" allowBlank="1" showInputMessage="1" showErrorMessage="1" prompt="Selecionar tipo de material._x000a_Se for estabilização química do solo, deverá ser feita a composição analítica da estabilização na planilha 8.6-Comp." sqref="I143:J143" xr:uid="{00000000-0002-0000-0200-000002000000}">
      <formula1>$J$168:$M$168</formula1>
      <formula2>0</formula2>
    </dataValidation>
    <dataValidation type="list" showInputMessage="1" showErrorMessage="1" prompt="Pedra - Alvenaria de pedra argamassada_x000a__x000a_Concreto - Concreto ciclópico" sqref="K80:N80" xr:uid="{00000000-0002-0000-0200-000003000000}">
      <formula1>$P$17:$P$20</formula1>
      <formula2>0</formula2>
    </dataValidation>
    <dataValidation type="decimal" operator="greaterThanOrEqual" showErrorMessage="1" error="ESTE NÚMERO DEVE SER INTEIRO!" sqref="L14:L18 L21:L34 L37:L38 L41:L48 L51:L77 L81:L121 L124:L140 L143:L151 L154:L159" xr:uid="{00000000-0002-0000-0200-000004000000}">
      <formula1>0</formula1>
      <formula2>0</formula2>
    </dataValidation>
    <dataValidation type="whole" operator="greaterThan" allowBlank="1" showErrorMessage="1" error="ESTE NÚMERO DEVE SER INTEIRO!" sqref="L39:L40 L49:L50 L78:L79 L122:L123 L141:L142 L152:L153" xr:uid="{00000000-0002-0000-0200-000005000000}">
      <formula1>0</formula1>
      <formula2>0</formula2>
    </dataValidation>
  </dataValidations>
  <hyperlinks>
    <hyperlink ref="I99" location="6.19-Bca.BSTC-40!E18" display="Conc. Ciclop." xr:uid="{00000000-0004-0000-0200-000000000000}"/>
    <hyperlink ref="J99" location="6.19-Bca.Ped.BSTC-40!E18" display="Pedra Arg." xr:uid="{00000000-0004-0000-0200-000001000000}"/>
    <hyperlink ref="I100" location="6.20-Bca.BSTC-60!E18" display="Conc. Ciclop." xr:uid="{00000000-0004-0000-0200-000002000000}"/>
    <hyperlink ref="J100" location="6.20-Bca.Ped.BSTC-60!E18" display="Pedra Arg." xr:uid="{00000000-0004-0000-0200-000003000000}"/>
    <hyperlink ref="I101" location="6.21-Bca.BSTC-80!E18" display="Conc. Ciclop." xr:uid="{00000000-0004-0000-0200-000004000000}"/>
    <hyperlink ref="J101" location="6.21-Bca.Ped.BSTC-80!E18" display="Pedra Arg." xr:uid="{00000000-0004-0000-0200-000005000000}"/>
    <hyperlink ref="I102" location="6.22-Bca.BSTC-100!E18" display="Conc. Ciclop." xr:uid="{00000000-0004-0000-0200-000006000000}"/>
    <hyperlink ref="J102" location="6.22-Bca.Ped.BSTC-100!E18" display="Pedra Arg." xr:uid="{00000000-0004-0000-0200-000007000000}"/>
    <hyperlink ref="I103" location="6.23-Bca.BSTC-120!E18" display="Conc. Ciclop." xr:uid="{00000000-0004-0000-0200-000008000000}"/>
    <hyperlink ref="J103" location="6.23-Bca.Ped.BSTC-120!E18" display="Pedra Arg." xr:uid="{00000000-0004-0000-0200-000009000000}"/>
    <hyperlink ref="I104" location="6.24-Bca.BSTC-150!E18" display="Conc. Ciclop." xr:uid="{00000000-0004-0000-0200-00000A000000}"/>
    <hyperlink ref="J104" location="6.24-Bca.Ped.BSTC-150!E18" display="Pedra Arg." xr:uid="{00000000-0004-0000-0200-00000B000000}"/>
    <hyperlink ref="I105" location="6.25-Bca.BDTC-40!E18" display="Conc. Ciclop." xr:uid="{00000000-0004-0000-0200-00000C000000}"/>
    <hyperlink ref="J105" location="6.25-Bca.Ped.BDTC-40!E18" display="Pedra Arg." xr:uid="{00000000-0004-0000-0200-00000D000000}"/>
    <hyperlink ref="I106" location="6.26-Bca.BDTC-60!E18" display="Conc. Ciclop." xr:uid="{00000000-0004-0000-0200-00000E000000}"/>
    <hyperlink ref="J106" location="6.26-Bca.Ped.BDTC-60!E18" display="Pedra Arg." xr:uid="{00000000-0004-0000-0200-00000F000000}"/>
    <hyperlink ref="I107" location="6.27-Bca.BDTC-80!E18" display="Conc. Ciclop." xr:uid="{00000000-0004-0000-0200-000010000000}"/>
    <hyperlink ref="J107" location="6.27-Bca.Ped.BDTC-80!E18" display="Pedra Arg." xr:uid="{00000000-0004-0000-0200-000011000000}"/>
    <hyperlink ref="I108" location="6.28-Bca.BDTC-100!E18" display="Conc. Ciclop." xr:uid="{00000000-0004-0000-0200-000012000000}"/>
    <hyperlink ref="J108" location="6.28-Bca.Ped.BDTC-100!E18" display="Pedra Arg." xr:uid="{00000000-0004-0000-0200-000013000000}"/>
    <hyperlink ref="I109" location="6.29-Bca.BDTC-120!E18" display="Conc. Ciclop." xr:uid="{00000000-0004-0000-0200-000014000000}"/>
    <hyperlink ref="J109" location="6.29-Bca.Ped.BDTC-120!E18" display="Pedra Arg." xr:uid="{00000000-0004-0000-0200-000015000000}"/>
    <hyperlink ref="I110" location="6.30-Bca.Ped.BDTC-150!E18" display="Conc. Ciclop." xr:uid="{00000000-0004-0000-0200-000016000000}"/>
    <hyperlink ref="J110" location="6.30-Bca.Ped.BDTC-150!E18" display="Pedra Arg." xr:uid="{00000000-0004-0000-0200-000017000000}"/>
    <hyperlink ref="I111" location="6.31-Bca.BTTC-40!E18" display="Conc. Ciclop." xr:uid="{00000000-0004-0000-0200-000018000000}"/>
    <hyperlink ref="J111" location="6.31-Bca.Ped.BTTC-40!E18" display="Pedra Arg." xr:uid="{00000000-0004-0000-0200-000019000000}"/>
    <hyperlink ref="I112" location="6.32-Bca.BTTC-60!E18" display="Conc. Ciclop." xr:uid="{00000000-0004-0000-0200-00001A000000}"/>
    <hyperlink ref="J112" location="6.32-Bca.Ped.BTTC-60!E18" display="Pedra Arg." xr:uid="{00000000-0004-0000-0200-00001B000000}"/>
    <hyperlink ref="I113" location="6.33-Bca.BTTC-80!E18" display="Conc. Ciclop." xr:uid="{00000000-0004-0000-0200-00001C000000}"/>
    <hyperlink ref="J113" location="6.33-Bca.Ped.BTTC-80!E18" display="Pedra Arg." xr:uid="{00000000-0004-0000-0200-00001D000000}"/>
    <hyperlink ref="I114" location="6.34-Bca.BTTC-100!E18" display="Conc. Ciclop." xr:uid="{00000000-0004-0000-0200-00001E000000}"/>
    <hyperlink ref="J114" location="6.34-Bca.Ped.BTTC-100!E18" display="Pedra Arg." xr:uid="{00000000-0004-0000-0200-00001F000000}"/>
    <hyperlink ref="I115" location="6.35-Bca.BTTC-120!E18" display="Conc. Ciclop." xr:uid="{00000000-0004-0000-0200-000020000000}"/>
    <hyperlink ref="J115" location="6.35-Bca.Ped.BTTC-120!E18" display="Pedra Arg." xr:uid="{00000000-0004-0000-0200-000021000000}"/>
    <hyperlink ref="I116" location="6.36-Bca.BTTC-150!E18" display="Conc. Ciclop." xr:uid="{00000000-0004-0000-0200-000022000000}"/>
    <hyperlink ref="J116" location="6.36-Bca.Ped.BTTC-150!E18" display="Pedra Arg." xr:uid="{00000000-0004-0000-0200-00002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rstPageNumber="0" orientation="portrait" horizontalDpi="300" verticalDpi="300" r:id="rId1"/>
  <headerFooter alignWithMargins="0">
    <oddHeader>&amp;C&amp;"Times New Roman,Normal"&amp;12&amp;G</oddHeader>
    <oddFooter>&amp;C&amp;14End: Tv. Estrela, nº 406 - B. Bairro: Bom Jesus, Mãe do Rio - PA&amp;R&amp;P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64"/>
  <sheetViews>
    <sheetView view="pageBreakPreview" zoomScale="60" zoomScaleNormal="80" workbookViewId="0">
      <selection activeCell="J14" sqref="J14"/>
    </sheetView>
  </sheetViews>
  <sheetFormatPr defaultColWidth="9.21875" defaultRowHeight="13.2" x14ac:dyDescent="0.25"/>
  <cols>
    <col min="1" max="1" width="5.6640625" style="1" customWidth="1"/>
    <col min="2" max="2" width="14.33203125" style="1" customWidth="1"/>
    <col min="3" max="3" width="18.33203125" style="1" customWidth="1"/>
    <col min="4" max="5" width="7.6640625" style="1" customWidth="1"/>
    <col min="6" max="8" width="17.6640625" style="1" customWidth="1"/>
    <col min="9" max="9" width="16.6640625" style="1" customWidth="1"/>
    <col min="10" max="10" width="16.6640625" style="705" customWidth="1"/>
    <col min="11" max="16384" width="9.21875" style="1"/>
  </cols>
  <sheetData>
    <row r="2" spans="1:13" s="707" customFormat="1" ht="17.100000000000001" customHeight="1" x14ac:dyDescent="0.25">
      <c r="A2" s="706"/>
      <c r="B2" s="1796" t="s">
        <v>710</v>
      </c>
      <c r="C2" s="1795" t="str">
        <f>ORÇAMENTÁRIA!D1</f>
        <v>J J BORGES DE OLIVEIRA EIRELI</v>
      </c>
      <c r="D2" s="1788"/>
      <c r="E2" s="1788"/>
      <c r="F2" s="1788"/>
      <c r="G2" s="1788"/>
      <c r="H2" s="1788"/>
      <c r="I2" s="1788"/>
      <c r="J2" s="1788"/>
      <c r="K2" s="1785"/>
      <c r="L2" s="1785"/>
      <c r="M2" s="1785"/>
    </row>
    <row r="3" spans="1:13" s="707" customFormat="1" ht="15.9" customHeight="1" x14ac:dyDescent="0.25">
      <c r="A3" s="706"/>
      <c r="B3" s="1796" t="s">
        <v>712</v>
      </c>
      <c r="C3" s="1795" t="str">
        <f>ORÇAMENTÁRIA!D2</f>
        <v>20.129.307/0001-02</v>
      </c>
      <c r="D3" s="1789"/>
      <c r="E3" s="1789"/>
      <c r="F3" s="1789"/>
      <c r="G3" s="1789"/>
      <c r="H3" s="1789"/>
      <c r="I3" s="1789"/>
      <c r="J3" s="1789"/>
      <c r="K3" s="354"/>
      <c r="L3" s="354"/>
      <c r="M3" s="354"/>
    </row>
    <row r="4" spans="1:13" s="707" customFormat="1" ht="24" customHeight="1" x14ac:dyDescent="0.25">
      <c r="A4" s="706"/>
      <c r="B4" s="1822" t="s">
        <v>719</v>
      </c>
      <c r="C4" s="1789" t="str">
        <f>ORÇAMENTÁRIA!D3</f>
        <v>Nª 2/2021-003</v>
      </c>
      <c r="D4" s="1789"/>
      <c r="E4" s="1790"/>
      <c r="F4" s="1790"/>
      <c r="G4" s="1789"/>
      <c r="H4" s="1789"/>
      <c r="I4" s="1789"/>
      <c r="J4" s="1789"/>
      <c r="K4" s="351"/>
      <c r="L4" s="351"/>
      <c r="M4" s="351"/>
    </row>
    <row r="5" spans="1:13" s="707" customFormat="1" ht="15.9" customHeight="1" x14ac:dyDescent="0.25">
      <c r="A5" s="706"/>
      <c r="B5" s="1797" t="s">
        <v>720</v>
      </c>
      <c r="C5" s="1789" t="str">
        <f>ORÇAMENTÁRIA!D4</f>
        <v>TOMADA DE PREÇOS</v>
      </c>
      <c r="D5" s="1789"/>
      <c r="E5" s="1790"/>
      <c r="F5" s="1790"/>
      <c r="G5" s="1789"/>
      <c r="H5" s="1789"/>
      <c r="I5" s="1789"/>
      <c r="J5" s="1789"/>
      <c r="K5" s="355"/>
      <c r="L5" s="355"/>
      <c r="M5" s="355"/>
    </row>
    <row r="6" spans="1:13" s="707" customFormat="1" ht="40.200000000000003" customHeight="1" x14ac:dyDescent="0.25">
      <c r="A6" s="706"/>
      <c r="B6" s="1796" t="s">
        <v>715</v>
      </c>
      <c r="C6" s="1800" t="str">
        <f>ORÇAMENTÁRIA!D5</f>
        <v>CONTRATAÇÃO DE EMPRESA ESPECIALIZADA EM RECUPERAÇÃO DE 13,1 KM DE ESTRADAS VICINAIS DE ACESSO AO PA MANOEL CRESCÊNCIO DE SOUZA NO MUNICÍPIO DE AURORA DO PARÁ/PA, NAS ÁREAS VINCULADAS AO PROGRAMA DE REFORMA AGRÁRIA DO INCRA. EM CONFORMIDADE COM PROJETOS, MEMORIAL DESCRITIVO E PLANILHAS ORÇAMENTÁRIAS.</v>
      </c>
      <c r="D6" s="1800"/>
      <c r="E6" s="1800"/>
      <c r="F6" s="1800"/>
      <c r="G6" s="1800"/>
      <c r="H6" s="1800"/>
      <c r="I6" s="1800"/>
      <c r="J6" s="1800"/>
      <c r="K6" s="1790"/>
      <c r="L6" s="1790"/>
      <c r="M6" s="1790"/>
    </row>
    <row r="7" spans="1:13" s="707" customFormat="1" ht="15.9" customHeight="1" x14ac:dyDescent="0.25">
      <c r="A7" s="706"/>
      <c r="B7" s="1796" t="s">
        <v>716</v>
      </c>
      <c r="C7" s="1789" t="str">
        <f>ORÇAMENTÁRIA!D6</f>
        <v>PREFEITURA MINUCIPAL DE AURORA DO PARÁ</v>
      </c>
      <c r="D7" s="1789"/>
      <c r="E7" s="1789"/>
      <c r="F7" s="1789"/>
      <c r="G7" s="1789"/>
      <c r="H7" s="1789"/>
      <c r="I7" s="1789"/>
      <c r="J7" s="1789"/>
      <c r="K7" s="1785"/>
      <c r="L7" s="1785"/>
      <c r="M7" s="1785"/>
    </row>
    <row r="8" spans="1:13" s="707" customFormat="1" ht="15.9" customHeight="1" x14ac:dyDescent="0.25">
      <c r="A8" s="706"/>
      <c r="B8" s="1798" t="s">
        <v>717</v>
      </c>
      <c r="C8" s="1792">
        <f>ORÇAMENTÁRIA!D7</f>
        <v>0.25569999999999998</v>
      </c>
      <c r="D8" s="1789"/>
      <c r="E8" s="1789"/>
      <c r="F8" s="1789"/>
      <c r="G8" s="1789"/>
      <c r="H8" s="1789"/>
      <c r="I8" s="1789"/>
      <c r="J8" s="1789"/>
      <c r="K8" s="354"/>
      <c r="L8" s="354"/>
      <c r="M8" s="354"/>
    </row>
    <row r="9" spans="1:13" s="707" customFormat="1" ht="22.2" customHeight="1" x14ac:dyDescent="0.25">
      <c r="A9" s="706"/>
      <c r="B9" s="1799" t="s">
        <v>718</v>
      </c>
      <c r="C9" s="1789" t="str">
        <f>ORÇAMENTÁRIA!D8</f>
        <v xml:space="preserve"> PA MANOEL CRESCÊNCIO DE SOUZA</v>
      </c>
      <c r="D9" s="1789"/>
      <c r="E9" s="1789"/>
      <c r="F9" s="1789"/>
      <c r="G9" s="1789"/>
      <c r="H9" s="1789"/>
      <c r="I9" s="1789"/>
      <c r="J9" s="1789"/>
      <c r="K9" s="356"/>
      <c r="L9" s="356"/>
      <c r="M9" s="356"/>
    </row>
    <row r="10" spans="1:13" ht="12" customHeight="1" x14ac:dyDescent="0.25">
      <c r="A10" s="116"/>
      <c r="B10" s="121"/>
      <c r="C10" s="121"/>
      <c r="D10" s="121"/>
      <c r="E10" s="121"/>
      <c r="F10" s="121"/>
      <c r="G10" s="121"/>
      <c r="H10" s="121"/>
      <c r="I10" s="121"/>
      <c r="J10" s="708"/>
    </row>
    <row r="11" spans="1:13" ht="15.9" customHeight="1" x14ac:dyDescent="0.25">
      <c r="A11" s="116"/>
      <c r="B11" s="116"/>
      <c r="C11" s="1550" t="s">
        <v>341</v>
      </c>
      <c r="D11" s="1550"/>
      <c r="E11" s="1550"/>
      <c r="F11" s="1550"/>
      <c r="G11" s="1550"/>
      <c r="H11" s="1550"/>
      <c r="I11" s="1550"/>
      <c r="J11" s="351"/>
    </row>
    <row r="12" spans="1:13" s="713" customFormat="1" ht="6" customHeight="1" x14ac:dyDescent="0.2">
      <c r="A12" s="709"/>
      <c r="B12" s="710"/>
      <c r="C12" s="710"/>
      <c r="D12" s="711"/>
      <c r="E12" s="711"/>
      <c r="F12" s="712"/>
      <c r="G12" s="712"/>
      <c r="H12" s="712"/>
      <c r="I12" s="352"/>
      <c r="J12" s="353"/>
    </row>
    <row r="13" spans="1:13" s="716" customFormat="1" ht="20.25" customHeight="1" x14ac:dyDescent="0.25">
      <c r="A13" s="1590" t="s">
        <v>342</v>
      </c>
      <c r="B13" s="1590"/>
      <c r="C13" s="1590"/>
      <c r="D13" s="1590"/>
      <c r="E13" s="1590"/>
      <c r="F13" s="1591" t="s">
        <v>343</v>
      </c>
      <c r="G13" s="1591"/>
      <c r="H13" s="1591"/>
      <c r="I13" s="714"/>
      <c r="J13" s="715"/>
      <c r="L13" s="717"/>
      <c r="M13" s="717"/>
    </row>
    <row r="14" spans="1:13" s="716" customFormat="1" ht="37.799999999999997" customHeight="1" x14ac:dyDescent="0.25">
      <c r="A14" s="1592" t="s">
        <v>344</v>
      </c>
      <c r="B14" s="1592"/>
      <c r="C14" s="1593" t="s">
        <v>345</v>
      </c>
      <c r="D14" s="1593"/>
      <c r="E14" s="1593"/>
      <c r="F14" s="719" t="s">
        <v>346</v>
      </c>
      <c r="G14" s="719" t="s">
        <v>347</v>
      </c>
      <c r="H14" s="720" t="s">
        <v>348</v>
      </c>
      <c r="I14" s="721" t="s">
        <v>349</v>
      </c>
      <c r="J14" s="722" t="s">
        <v>350</v>
      </c>
      <c r="L14" s="717"/>
      <c r="M14" s="717"/>
    </row>
    <row r="15" spans="1:13" s="716" customFormat="1" ht="20.100000000000001" customHeight="1" x14ac:dyDescent="0.25">
      <c r="A15" s="723" t="s">
        <v>351</v>
      </c>
      <c r="B15" s="724" t="s">
        <v>352</v>
      </c>
      <c r="C15" s="725"/>
      <c r="D15" s="1594" t="s">
        <v>353</v>
      </c>
      <c r="E15" s="1594"/>
      <c r="F15" s="726">
        <v>3.7999999999999999E-2</v>
      </c>
      <c r="G15" s="726">
        <v>4.0099999999999997E-2</v>
      </c>
      <c r="H15" s="727">
        <v>4.6699999999999998E-2</v>
      </c>
      <c r="I15" s="728">
        <v>3.7999999999999999E-2</v>
      </c>
      <c r="J15" s="729">
        <f t="shared" ref="J15:J18" si="0">ROUND(I15,4)</f>
        <v>3.7999999999999999E-2</v>
      </c>
      <c r="L15" s="717"/>
      <c r="M15" s="717"/>
    </row>
    <row r="16" spans="1:13" s="716" customFormat="1" ht="20.100000000000001" customHeight="1" x14ac:dyDescent="0.25">
      <c r="A16" s="730" t="s">
        <v>354</v>
      </c>
      <c r="B16" s="731" t="s">
        <v>355</v>
      </c>
      <c r="C16" s="452"/>
      <c r="D16" s="732" t="s">
        <v>235</v>
      </c>
      <c r="E16" s="733" t="s">
        <v>356</v>
      </c>
      <c r="F16" s="734">
        <v>1.0200000000000001E-2</v>
      </c>
      <c r="G16" s="734">
        <v>1.11E-2</v>
      </c>
      <c r="H16" s="735">
        <v>1.21E-2</v>
      </c>
      <c r="I16" s="736">
        <v>1.0200000000000001E-2</v>
      </c>
      <c r="J16" s="737">
        <f t="shared" si="0"/>
        <v>1.0200000000000001E-2</v>
      </c>
      <c r="L16" s="717"/>
      <c r="M16" s="717"/>
    </row>
    <row r="17" spans="1:14" s="716" customFormat="1" ht="20.100000000000001" customHeight="1" x14ac:dyDescent="0.25">
      <c r="A17" s="730" t="s">
        <v>357</v>
      </c>
      <c r="B17" s="731" t="s">
        <v>358</v>
      </c>
      <c r="C17" s="452"/>
      <c r="D17" s="732" t="s">
        <v>235</v>
      </c>
      <c r="E17" s="733" t="s">
        <v>356</v>
      </c>
      <c r="F17" s="734">
        <v>3.2000000000000002E-3</v>
      </c>
      <c r="G17" s="734">
        <v>4.0000000000000001E-3</v>
      </c>
      <c r="H17" s="735">
        <v>7.4000000000000003E-3</v>
      </c>
      <c r="I17" s="736">
        <v>3.2000000000000002E-3</v>
      </c>
      <c r="J17" s="737">
        <f t="shared" si="0"/>
        <v>3.2000000000000002E-3</v>
      </c>
      <c r="L17" s="717"/>
      <c r="M17" s="717"/>
    </row>
    <row r="18" spans="1:14" s="716" customFormat="1" ht="20.100000000000001" customHeight="1" x14ac:dyDescent="0.25">
      <c r="A18" s="738" t="s">
        <v>359</v>
      </c>
      <c r="B18" s="739" t="s">
        <v>360</v>
      </c>
      <c r="C18" s="740"/>
      <c r="D18" s="732" t="s">
        <v>235</v>
      </c>
      <c r="E18" s="741" t="s">
        <v>356</v>
      </c>
      <c r="F18" s="742">
        <v>5.0000000000000001E-3</v>
      </c>
      <c r="G18" s="742">
        <v>5.5999999999999999E-3</v>
      </c>
      <c r="H18" s="743">
        <v>9.7000000000000003E-3</v>
      </c>
      <c r="I18" s="736">
        <v>5.0000000000000001E-3</v>
      </c>
      <c r="J18" s="737">
        <f t="shared" si="0"/>
        <v>5.0000000000000001E-3</v>
      </c>
      <c r="L18" s="744"/>
      <c r="M18" s="744"/>
      <c r="N18" s="745"/>
    </row>
    <row r="19" spans="1:14" s="716" customFormat="1" ht="20.100000000000001" customHeight="1" x14ac:dyDescent="0.25">
      <c r="A19" s="746"/>
      <c r="B19" s="747"/>
      <c r="C19" s="747"/>
      <c r="D19" s="747"/>
      <c r="E19" s="748" t="s">
        <v>361</v>
      </c>
      <c r="F19" s="749">
        <f>SUM(F15:F18)</f>
        <v>5.6399999999999999E-2</v>
      </c>
      <c r="G19" s="749">
        <f>SUM(G15:G18)</f>
        <v>6.08E-2</v>
      </c>
      <c r="H19" s="750">
        <f>SUM(H15:H18)</f>
        <v>7.5899999999999995E-2</v>
      </c>
      <c r="I19" s="751">
        <f>SUM(I15:I18)</f>
        <v>5.6399999999999999E-2</v>
      </c>
      <c r="J19" s="752">
        <f>SUM(J15:J18)</f>
        <v>5.6399999999999999E-2</v>
      </c>
      <c r="L19" s="753"/>
      <c r="M19" s="754"/>
      <c r="N19" s="755"/>
    </row>
    <row r="20" spans="1:14" s="716" customFormat="1" ht="14.1" customHeight="1" x14ac:dyDescent="0.25">
      <c r="A20" s="756"/>
      <c r="B20" s="559"/>
      <c r="C20" s="559"/>
      <c r="D20" s="757"/>
      <c r="E20" s="757"/>
      <c r="F20" s="758"/>
      <c r="G20" s="759"/>
      <c r="H20" s="760"/>
      <c r="I20" s="761"/>
      <c r="J20" s="762"/>
      <c r="L20" s="753"/>
      <c r="M20" s="754"/>
      <c r="N20" s="755"/>
    </row>
    <row r="21" spans="1:14" s="716" customFormat="1" ht="27" customHeight="1" x14ac:dyDescent="0.25">
      <c r="A21" s="1595" t="s">
        <v>362</v>
      </c>
      <c r="B21" s="1595"/>
      <c r="C21" s="1596" t="s">
        <v>363</v>
      </c>
      <c r="D21" s="1596"/>
      <c r="E21" s="718"/>
      <c r="F21" s="763" t="s">
        <v>346</v>
      </c>
      <c r="G21" s="763" t="s">
        <v>347</v>
      </c>
      <c r="H21" s="764" t="s">
        <v>348</v>
      </c>
      <c r="I21" s="721" t="s">
        <v>349</v>
      </c>
      <c r="J21" s="722" t="s">
        <v>350</v>
      </c>
      <c r="L21" s="754"/>
      <c r="M21" s="765"/>
      <c r="N21" s="766"/>
    </row>
    <row r="22" spans="1:14" s="716" customFormat="1" ht="20.100000000000001" customHeight="1" x14ac:dyDescent="0.25">
      <c r="A22" s="767" t="s">
        <v>364</v>
      </c>
      <c r="B22" s="768" t="s">
        <v>365</v>
      </c>
      <c r="C22" s="768"/>
      <c r="D22" s="1589" t="s">
        <v>353</v>
      </c>
      <c r="E22" s="1589"/>
      <c r="F22" s="769">
        <v>6.6400000000000001E-2</v>
      </c>
      <c r="G22" s="769">
        <v>7.2999999999999995E-2</v>
      </c>
      <c r="H22" s="770">
        <v>8.6900000000000005E-2</v>
      </c>
      <c r="I22" s="771">
        <v>7.6999999999999999E-2</v>
      </c>
      <c r="J22" s="772">
        <f>ROUND(I22,4)</f>
        <v>7.6999999999999999E-2</v>
      </c>
      <c r="L22" s="753"/>
      <c r="M22" s="753"/>
      <c r="N22" s="766"/>
    </row>
    <row r="23" spans="1:14" s="716" customFormat="1" ht="20.100000000000001" customHeight="1" x14ac:dyDescent="0.25">
      <c r="A23" s="773"/>
      <c r="B23" s="747"/>
      <c r="C23" s="747"/>
      <c r="D23" s="747"/>
      <c r="E23" s="748" t="s">
        <v>366</v>
      </c>
      <c r="F23" s="774">
        <f>SUM(F22)</f>
        <v>6.6400000000000001E-2</v>
      </c>
      <c r="G23" s="774">
        <f>SUM(G22)</f>
        <v>7.2999999999999995E-2</v>
      </c>
      <c r="H23" s="775">
        <f>SUM(H22)</f>
        <v>8.6900000000000005E-2</v>
      </c>
      <c r="I23" s="776">
        <f>SUM(I22)</f>
        <v>7.6999999999999999E-2</v>
      </c>
      <c r="J23" s="752">
        <f>SUM(J22)</f>
        <v>7.6999999999999999E-2</v>
      </c>
      <c r="L23" s="753"/>
      <c r="M23" s="753"/>
      <c r="N23" s="766"/>
    </row>
    <row r="24" spans="1:14" s="716" customFormat="1" ht="14.1" customHeight="1" x14ac:dyDescent="0.25">
      <c r="A24" s="756"/>
      <c r="B24" s="559"/>
      <c r="C24" s="559"/>
      <c r="D24" s="757"/>
      <c r="E24" s="757"/>
      <c r="F24" s="758"/>
      <c r="G24" s="759"/>
      <c r="H24" s="760"/>
      <c r="I24" s="777"/>
      <c r="J24" s="762"/>
      <c r="L24" s="753"/>
      <c r="M24" s="753"/>
      <c r="N24" s="766"/>
    </row>
    <row r="25" spans="1:14" s="716" customFormat="1" ht="27" customHeight="1" x14ac:dyDescent="0.25">
      <c r="A25" s="1595" t="s">
        <v>367</v>
      </c>
      <c r="B25" s="1595"/>
      <c r="C25" s="1596" t="s">
        <v>368</v>
      </c>
      <c r="D25" s="1596"/>
      <c r="E25" s="718"/>
      <c r="F25" s="763" t="s">
        <v>346</v>
      </c>
      <c r="G25" s="763" t="s">
        <v>347</v>
      </c>
      <c r="H25" s="764" t="s">
        <v>348</v>
      </c>
      <c r="I25" s="721" t="s">
        <v>349</v>
      </c>
      <c r="J25" s="722" t="s">
        <v>369</v>
      </c>
      <c r="L25" s="753"/>
      <c r="M25" s="753"/>
      <c r="N25" s="766"/>
    </row>
    <row r="26" spans="1:14" s="716" customFormat="1" ht="20.100000000000001" customHeight="1" x14ac:dyDescent="0.25">
      <c r="A26" s="1598" t="s">
        <v>167</v>
      </c>
      <c r="B26" s="778" t="s">
        <v>370</v>
      </c>
      <c r="C26" s="779"/>
      <c r="D26" s="732">
        <v>6.4999999999999997E-3</v>
      </c>
      <c r="E26" s="733" t="s">
        <v>371</v>
      </c>
      <c r="F26" s="780"/>
      <c r="G26" s="781" t="s">
        <v>372</v>
      </c>
      <c r="H26" s="782"/>
      <c r="I26" s="783">
        <f t="shared" ref="I26:I27" si="1">D26</f>
        <v>6.4999999999999997E-3</v>
      </c>
      <c r="J26" s="729">
        <f t="shared" ref="J26:J28" si="2">I26</f>
        <v>6.4999999999999997E-3</v>
      </c>
      <c r="L26" s="744"/>
      <c r="M26" s="744"/>
      <c r="N26" s="745"/>
    </row>
    <row r="27" spans="1:14" s="716" customFormat="1" ht="20.100000000000001" customHeight="1" x14ac:dyDescent="0.25">
      <c r="A27" s="1598"/>
      <c r="B27" s="784" t="s">
        <v>373</v>
      </c>
      <c r="C27" s="785"/>
      <c r="D27" s="732">
        <v>0.03</v>
      </c>
      <c r="E27" s="733" t="s">
        <v>371</v>
      </c>
      <c r="F27" s="786"/>
      <c r="G27" s="781" t="s">
        <v>374</v>
      </c>
      <c r="H27" s="787"/>
      <c r="I27" s="783">
        <f t="shared" si="1"/>
        <v>0.03</v>
      </c>
      <c r="J27" s="737">
        <f t="shared" si="2"/>
        <v>0.03</v>
      </c>
      <c r="L27" s="745"/>
      <c r="M27" s="745"/>
      <c r="N27" s="745"/>
    </row>
    <row r="28" spans="1:14" s="716" customFormat="1" ht="20.100000000000001" customHeight="1" x14ac:dyDescent="0.25">
      <c r="A28" s="1598"/>
      <c r="B28" s="788" t="s">
        <v>375</v>
      </c>
      <c r="C28" s="789" t="s">
        <v>376</v>
      </c>
      <c r="D28" s="790">
        <v>0.03</v>
      </c>
      <c r="E28" s="733"/>
      <c r="F28" s="1599" t="s">
        <v>377</v>
      </c>
      <c r="G28" s="1599"/>
      <c r="H28" s="1599"/>
      <c r="I28" s="1600">
        <f>ROUND(D28*D29,4)</f>
        <v>1.2E-2</v>
      </c>
      <c r="J28" s="1601">
        <f t="shared" si="2"/>
        <v>1.2E-2</v>
      </c>
      <c r="L28" s="745"/>
      <c r="M28" s="745"/>
      <c r="N28" s="745"/>
    </row>
    <row r="29" spans="1:14" s="716" customFormat="1" ht="37.5" customHeight="1" x14ac:dyDescent="0.25">
      <c r="A29" s="1598"/>
      <c r="B29" s="1602" t="s">
        <v>378</v>
      </c>
      <c r="C29" s="1602"/>
      <c r="D29" s="790">
        <v>0.4</v>
      </c>
      <c r="E29" s="791" t="s">
        <v>371</v>
      </c>
      <c r="F29" s="1599"/>
      <c r="G29" s="1599"/>
      <c r="H29" s="1599"/>
      <c r="I29" s="1600"/>
      <c r="J29" s="1601" t="e">
        <f>I29*(1+#REF!)</f>
        <v>#REF!</v>
      </c>
    </row>
    <row r="30" spans="1:14" s="716" customFormat="1" ht="27.9" customHeight="1" x14ac:dyDescent="0.25">
      <c r="A30" s="1598"/>
      <c r="B30" s="1603" t="s">
        <v>379</v>
      </c>
      <c r="C30" s="1603"/>
      <c r="D30" s="792">
        <f>IF('[1]Atualização de custos unitarios'!C73="Mão de obra (COM DESONERAÇÃO)",4.5%,0)</f>
        <v>4.4999999999999998E-2</v>
      </c>
      <c r="E30" s="793" t="s">
        <v>371</v>
      </c>
      <c r="F30" s="794"/>
      <c r="G30" s="795" t="s">
        <v>380</v>
      </c>
      <c r="H30" s="794"/>
      <c r="I30" s="796">
        <f>D30</f>
        <v>4.4999999999999998E-2</v>
      </c>
      <c r="J30" s="797">
        <f>I30</f>
        <v>4.4999999999999998E-2</v>
      </c>
    </row>
    <row r="31" spans="1:14" s="716" customFormat="1" ht="20.100000000000001" customHeight="1" x14ac:dyDescent="0.25">
      <c r="A31" s="798"/>
      <c r="B31" s="559"/>
      <c r="C31" s="559"/>
      <c r="D31" s="559"/>
      <c r="E31" s="799" t="s">
        <v>381</v>
      </c>
      <c r="F31" s="800"/>
      <c r="G31" s="801"/>
      <c r="H31" s="802"/>
      <c r="I31" s="803">
        <f>SUM(I26:I30)</f>
        <v>9.35E-2</v>
      </c>
      <c r="J31" s="803">
        <f>J26+J27+J28+J30</f>
        <v>9.35E-2</v>
      </c>
      <c r="M31" s="804"/>
    </row>
    <row r="32" spans="1:14" s="716" customFormat="1" ht="6" customHeight="1" x14ac:dyDescent="0.25">
      <c r="A32" s="805"/>
      <c r="B32" s="407"/>
      <c r="C32" s="407"/>
      <c r="D32" s="806"/>
      <c r="E32" s="806"/>
      <c r="F32" s="101"/>
      <c r="G32" s="807"/>
      <c r="H32" s="808"/>
      <c r="I32" s="809"/>
      <c r="J32" s="810"/>
    </row>
    <row r="33" spans="1:10" s="716" customFormat="1" ht="15" customHeight="1" x14ac:dyDescent="0.25">
      <c r="A33" s="811"/>
      <c r="B33" s="1604" t="s">
        <v>382</v>
      </c>
      <c r="C33" s="1604"/>
      <c r="D33" s="1604"/>
      <c r="E33" s="1604"/>
      <c r="F33" s="101"/>
      <c r="G33" s="807"/>
      <c r="H33" s="808"/>
      <c r="I33" s="809"/>
      <c r="J33" s="810"/>
    </row>
    <row r="34" spans="1:10" s="716" customFormat="1" ht="15" customHeight="1" x14ac:dyDescent="0.25">
      <c r="A34" s="805"/>
      <c r="B34" s="1605" t="s">
        <v>383</v>
      </c>
      <c r="C34" s="1605"/>
      <c r="D34" s="1605"/>
      <c r="E34" s="1605"/>
      <c r="F34" s="101"/>
      <c r="G34" s="347" t="s">
        <v>384</v>
      </c>
      <c r="H34" s="808"/>
      <c r="I34" s="809"/>
      <c r="J34" s="810"/>
    </row>
    <row r="35" spans="1:10" s="716" customFormat="1" ht="20.100000000000001" customHeight="1" x14ac:dyDescent="0.25">
      <c r="A35" s="805"/>
      <c r="B35" s="812" t="s">
        <v>346</v>
      </c>
      <c r="C35" s="763" t="s">
        <v>347</v>
      </c>
      <c r="D35" s="1606" t="s">
        <v>348</v>
      </c>
      <c r="E35" s="1606"/>
      <c r="F35" s="101"/>
      <c r="G35" s="813"/>
      <c r="H35" s="814"/>
      <c r="I35" s="815">
        <f>IF(OR(I28="",I15="",I16="",I17="",I18="",I22=""),0,IF(G35="FORA DO LIMITE !","",ROUND(((1+(I15+I17+I18))*(1+I16)*(1+I22))/(1-I31)-1,4)))</f>
        <v>0.25569999999999998</v>
      </c>
      <c r="J35" s="810"/>
    </row>
    <row r="36" spans="1:10" s="716" customFormat="1" ht="20.100000000000001" customHeight="1" x14ac:dyDescent="0.25">
      <c r="A36" s="805"/>
      <c r="B36" s="816">
        <v>0.19600000000000001</v>
      </c>
      <c r="C36" s="817">
        <v>0.2097</v>
      </c>
      <c r="D36" s="1607">
        <v>0.24229999999999999</v>
      </c>
      <c r="E36" s="1607"/>
      <c r="F36" s="101"/>
      <c r="G36" s="1608"/>
      <c r="H36" s="1608"/>
      <c r="I36" s="1608"/>
      <c r="J36" s="1608"/>
    </row>
    <row r="37" spans="1:10" s="716" customFormat="1" ht="20.100000000000001" customHeight="1" x14ac:dyDescent="0.25">
      <c r="A37" s="805"/>
      <c r="B37" s="818"/>
      <c r="C37" s="819"/>
      <c r="D37" s="819"/>
      <c r="E37" s="819"/>
      <c r="F37" s="101"/>
      <c r="G37" s="1608"/>
      <c r="H37" s="1608"/>
      <c r="I37" s="1608"/>
      <c r="J37" s="1608"/>
    </row>
    <row r="38" spans="1:10" s="716" customFormat="1" ht="6" customHeight="1" x14ac:dyDescent="0.25">
      <c r="A38" s="805"/>
      <c r="B38" s="407"/>
      <c r="C38" s="407"/>
      <c r="D38" s="806"/>
      <c r="E38" s="806"/>
      <c r="F38" s="101"/>
      <c r="G38" s="820"/>
      <c r="H38" s="808"/>
      <c r="I38" s="809"/>
      <c r="J38" s="810"/>
    </row>
    <row r="39" spans="1:10" s="716" customFormat="1" ht="20.100000000000001" customHeight="1" x14ac:dyDescent="0.25">
      <c r="A39" s="821"/>
      <c r="B39" s="822"/>
      <c r="C39" s="822"/>
      <c r="D39" s="823"/>
      <c r="E39" s="823"/>
      <c r="F39" s="823"/>
      <c r="G39" s="823"/>
      <c r="H39" s="824" t="str">
        <f>IF('[1]Atualização de custos unitarios'!C73="Mão de obra (COM DESONERAÇÃO)","BDI a ser adotado COM DESONERAÇÃO (%)","BDI a ser adotado SEM DESONERAÇÃO (%)")</f>
        <v>BDI a ser adotado COM DESONERAÇÃO (%)</v>
      </c>
      <c r="I39" s="1597">
        <f>IF('[1]Atualização de custos unitarios'!C73="Mão de obra (COM DESONERAÇÃO)",I35,G35)</f>
        <v>0.25569999999999998</v>
      </c>
      <c r="J39" s="1597"/>
    </row>
    <row r="40" spans="1:10" s="716" customFormat="1" ht="12" customHeight="1" x14ac:dyDescent="0.25">
      <c r="A40" s="825"/>
      <c r="B40" s="826"/>
      <c r="C40" s="826"/>
      <c r="D40" s="826"/>
      <c r="E40" s="826"/>
      <c r="F40" s="826"/>
      <c r="G40" s="826"/>
      <c r="H40" s="826"/>
      <c r="I40" s="826"/>
      <c r="J40" s="827"/>
    </row>
    <row r="41" spans="1:10" s="716" customFormat="1" ht="15" customHeight="1" x14ac:dyDescent="0.25">
      <c r="A41" s="825"/>
      <c r="B41" s="826"/>
      <c r="C41" s="826"/>
      <c r="D41" s="826"/>
      <c r="E41" s="826"/>
      <c r="F41" s="826"/>
      <c r="G41" s="826"/>
      <c r="H41" s="826"/>
      <c r="I41" s="828"/>
      <c r="J41" s="827"/>
    </row>
    <row r="42" spans="1:10" s="716" customFormat="1" ht="15" customHeight="1" x14ac:dyDescent="0.25">
      <c r="A42" s="825"/>
      <c r="B42" s="829" t="s">
        <v>385</v>
      </c>
      <c r="C42" s="826"/>
      <c r="D42" s="826"/>
      <c r="E42" s="826"/>
      <c r="F42" s="826"/>
      <c r="G42" s="826"/>
      <c r="H42" s="826"/>
      <c r="I42" s="826"/>
      <c r="J42" s="827"/>
    </row>
    <row r="43" spans="1:10" s="716" customFormat="1" ht="15" customHeight="1" x14ac:dyDescent="0.25">
      <c r="A43" s="825"/>
      <c r="B43" s="826"/>
      <c r="C43" s="826"/>
      <c r="D43" s="826"/>
      <c r="E43" s="826"/>
      <c r="F43" s="826"/>
      <c r="G43" s="826"/>
      <c r="H43" s="826"/>
      <c r="I43" s="826"/>
      <c r="J43" s="827"/>
    </row>
    <row r="44" spans="1:10" s="716" customFormat="1" ht="15" customHeight="1" x14ac:dyDescent="0.25">
      <c r="A44" s="825"/>
      <c r="B44" s="830" t="s">
        <v>386</v>
      </c>
      <c r="C44" s="830"/>
      <c r="D44" s="826"/>
      <c r="E44" s="826"/>
      <c r="F44" s="826"/>
      <c r="G44" s="826"/>
      <c r="H44" s="826"/>
      <c r="I44" s="826"/>
      <c r="J44" s="827"/>
    </row>
    <row r="45" spans="1:10" ht="15" customHeight="1" x14ac:dyDescent="0.25">
      <c r="A45" s="825"/>
      <c r="B45" s="830" t="s">
        <v>387</v>
      </c>
      <c r="C45" s="830"/>
      <c r="D45" s="826"/>
      <c r="E45" s="826"/>
      <c r="F45" s="826"/>
      <c r="G45" s="826"/>
      <c r="H45" s="826"/>
      <c r="I45" s="826"/>
      <c r="J45" s="827"/>
    </row>
    <row r="46" spans="1:10" ht="15" customHeight="1" x14ac:dyDescent="0.25">
      <c r="A46" s="825"/>
      <c r="B46" s="830" t="s">
        <v>388</v>
      </c>
      <c r="C46" s="830"/>
      <c r="D46" s="826"/>
      <c r="E46" s="826"/>
      <c r="F46" s="826"/>
      <c r="G46" s="826"/>
      <c r="H46" s="826"/>
      <c r="I46" s="826"/>
      <c r="J46" s="827"/>
    </row>
    <row r="47" spans="1:10" ht="15" customHeight="1" x14ac:dyDescent="0.25">
      <c r="A47" s="825"/>
      <c r="B47" s="830" t="s">
        <v>389</v>
      </c>
      <c r="C47" s="830"/>
      <c r="D47" s="826"/>
      <c r="E47" s="826"/>
      <c r="F47" s="826"/>
      <c r="G47" s="826"/>
      <c r="H47" s="826"/>
      <c r="I47" s="826"/>
      <c r="J47" s="827"/>
    </row>
    <row r="48" spans="1:10" ht="15" customHeight="1" x14ac:dyDescent="0.25">
      <c r="A48" s="116"/>
      <c r="B48" s="831" t="s">
        <v>390</v>
      </c>
      <c r="C48" s="830"/>
      <c r="D48" s="832"/>
      <c r="E48" s="745"/>
      <c r="F48" s="745"/>
      <c r="G48" s="745"/>
      <c r="H48" s="745"/>
      <c r="I48" s="745"/>
      <c r="J48" s="827"/>
    </row>
    <row r="49" spans="1:10" ht="5.0999999999999996" customHeight="1" x14ac:dyDescent="0.25">
      <c r="A49" s="116"/>
      <c r="B49" s="830"/>
      <c r="C49" s="830"/>
      <c r="D49" s="826"/>
      <c r="E49" s="826"/>
      <c r="F49" s="826"/>
      <c r="G49" s="826"/>
      <c r="H49" s="826"/>
      <c r="I49" s="826"/>
      <c r="J49" s="826"/>
    </row>
    <row r="50" spans="1:10" ht="15.9" customHeight="1" x14ac:dyDescent="0.25">
      <c r="A50" s="116"/>
      <c r="B50" s="829" t="s">
        <v>391</v>
      </c>
      <c r="C50" s="833" t="s">
        <v>392</v>
      </c>
      <c r="D50" s="834"/>
      <c r="E50" s="834"/>
      <c r="F50" s="835"/>
      <c r="G50" s="835"/>
      <c r="H50" s="835"/>
      <c r="I50" s="835"/>
      <c r="J50" s="826"/>
    </row>
    <row r="51" spans="1:10" ht="24.9" customHeight="1" x14ac:dyDescent="0.25">
      <c r="A51" s="116"/>
      <c r="B51" s="836" t="s">
        <v>393</v>
      </c>
      <c r="C51" s="1612" t="s">
        <v>394</v>
      </c>
      <c r="D51" s="1612"/>
      <c r="E51" s="1612"/>
      <c r="F51" s="1612"/>
      <c r="G51" s="1612"/>
      <c r="H51" s="1612"/>
      <c r="I51" s="1612"/>
      <c r="J51" s="1612"/>
    </row>
    <row r="52" spans="1:10" ht="24.9" customHeight="1" x14ac:dyDescent="0.25">
      <c r="A52" s="116"/>
      <c r="B52" s="836" t="s">
        <v>395</v>
      </c>
      <c r="C52" s="1613" t="s">
        <v>396</v>
      </c>
      <c r="D52" s="1613"/>
      <c r="E52" s="1613"/>
      <c r="F52" s="1613"/>
      <c r="G52" s="1613"/>
      <c r="H52" s="1613"/>
      <c r="I52" s="1613"/>
      <c r="J52" s="1613"/>
    </row>
    <row r="53" spans="1:10" ht="5.0999999999999996" customHeight="1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4.1" customHeight="1" x14ac:dyDescent="0.25">
      <c r="A54" s="116"/>
      <c r="B54" s="503"/>
      <c r="C54" s="837"/>
      <c r="D54" s="838"/>
      <c r="E54" s="838"/>
      <c r="F54" s="838"/>
      <c r="G54" s="503"/>
      <c r="H54" s="503"/>
      <c r="I54" s="503"/>
      <c r="J54" s="116"/>
    </row>
    <row r="55" spans="1:10" ht="20.100000000000001" customHeight="1" x14ac:dyDescent="0.25">
      <c r="A55" s="116"/>
      <c r="B55" s="503"/>
      <c r="C55" s="839" t="s">
        <v>397</v>
      </c>
      <c r="D55" s="838"/>
      <c r="E55" s="838"/>
      <c r="F55" s="838"/>
      <c r="G55" s="503"/>
      <c r="H55" s="503"/>
      <c r="I55" s="503"/>
      <c r="J55" s="116"/>
    </row>
    <row r="56" spans="1:10" ht="20.100000000000001" customHeight="1" x14ac:dyDescent="0.25">
      <c r="A56" s="116"/>
      <c r="B56" s="503"/>
      <c r="C56" s="1614" t="s">
        <v>398</v>
      </c>
      <c r="D56" s="1614"/>
      <c r="E56" s="1614"/>
      <c r="F56" s="1614"/>
      <c r="G56" s="1614"/>
      <c r="H56" s="1614"/>
      <c r="I56" s="503"/>
      <c r="J56" s="116"/>
    </row>
    <row r="57" spans="1:10" ht="27" customHeight="1" x14ac:dyDescent="0.25">
      <c r="A57" s="116"/>
      <c r="B57" s="503"/>
      <c r="C57" s="840" t="s">
        <v>399</v>
      </c>
      <c r="D57" s="1615" t="s">
        <v>400</v>
      </c>
      <c r="E57" s="1615"/>
      <c r="F57" s="1615"/>
      <c r="G57" s="1615"/>
      <c r="H57" s="1615"/>
      <c r="I57" s="503"/>
      <c r="J57" s="116"/>
    </row>
    <row r="58" spans="1:10" ht="27" customHeight="1" x14ac:dyDescent="0.25">
      <c r="A58" s="116"/>
      <c r="B58" s="503"/>
      <c r="C58" s="841" t="s">
        <v>401</v>
      </c>
      <c r="D58" s="1609" t="s">
        <v>402</v>
      </c>
      <c r="E58" s="1609"/>
      <c r="F58" s="1609"/>
      <c r="G58" s="1609"/>
      <c r="H58" s="1609"/>
      <c r="I58" s="503"/>
      <c r="J58" s="116"/>
    </row>
    <row r="59" spans="1:10" ht="27" customHeight="1" x14ac:dyDescent="0.25">
      <c r="A59" s="116"/>
      <c r="B59" s="503"/>
      <c r="C59" s="842" t="s">
        <v>403</v>
      </c>
      <c r="D59" s="1610" t="s">
        <v>404</v>
      </c>
      <c r="E59" s="1610"/>
      <c r="F59" s="1610"/>
      <c r="G59" s="1610"/>
      <c r="H59" s="1610"/>
      <c r="I59" s="503"/>
      <c r="J59" s="116"/>
    </row>
    <row r="60" spans="1:10" ht="27" customHeight="1" x14ac:dyDescent="0.25">
      <c r="A60" s="116"/>
      <c r="B60" s="503"/>
      <c r="C60" s="843" t="s">
        <v>405</v>
      </c>
      <c r="D60" s="1609" t="s">
        <v>406</v>
      </c>
      <c r="E60" s="1609"/>
      <c r="F60" s="1609"/>
      <c r="G60" s="1609"/>
      <c r="H60" s="1609"/>
      <c r="I60" s="503"/>
      <c r="J60" s="116"/>
    </row>
    <row r="61" spans="1:10" ht="27" customHeight="1" x14ac:dyDescent="0.25">
      <c r="A61" s="116"/>
      <c r="B61" s="116"/>
      <c r="C61" s="842" t="s">
        <v>407</v>
      </c>
      <c r="D61" s="1610" t="s">
        <v>408</v>
      </c>
      <c r="E61" s="1610"/>
      <c r="F61" s="1610"/>
      <c r="G61" s="1610"/>
      <c r="H61" s="1610"/>
      <c r="I61" s="116"/>
      <c r="J61" s="116"/>
    </row>
    <row r="62" spans="1:10" ht="27" customHeight="1" x14ac:dyDescent="0.25">
      <c r="A62" s="116"/>
      <c r="B62" s="116"/>
      <c r="C62" s="844" t="s">
        <v>409</v>
      </c>
      <c r="D62" s="1611" t="s">
        <v>410</v>
      </c>
      <c r="E62" s="1611"/>
      <c r="F62" s="1611"/>
      <c r="G62" s="1611"/>
      <c r="H62" s="1611"/>
      <c r="I62" s="116"/>
      <c r="J62" s="116"/>
    </row>
    <row r="63" spans="1:10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x14ac:dyDescent="0.25">
      <c r="A64" s="116"/>
      <c r="B64" s="116"/>
      <c r="C64" s="116"/>
      <c r="D64" s="116"/>
      <c r="E64" s="116"/>
      <c r="F64" s="116"/>
      <c r="G64" s="116"/>
      <c r="H64" s="116"/>
      <c r="I64" s="116"/>
    </row>
  </sheetData>
  <sheetProtection selectLockedCells="1" selectUnlockedCells="1"/>
  <mergeCells count="33">
    <mergeCell ref="D60:H60"/>
    <mergeCell ref="D61:H61"/>
    <mergeCell ref="D62:H62"/>
    <mergeCell ref="C51:J51"/>
    <mergeCell ref="C52:J52"/>
    <mergeCell ref="C56:H56"/>
    <mergeCell ref="D57:H57"/>
    <mergeCell ref="D58:H58"/>
    <mergeCell ref="D59:H59"/>
    <mergeCell ref="I39:J39"/>
    <mergeCell ref="A25:B25"/>
    <mergeCell ref="C25:D25"/>
    <mergeCell ref="A26:A30"/>
    <mergeCell ref="F28:H29"/>
    <mergeCell ref="I28:I29"/>
    <mergeCell ref="J28:J29"/>
    <mergeCell ref="B29:C29"/>
    <mergeCell ref="B30:C30"/>
    <mergeCell ref="B33:E33"/>
    <mergeCell ref="B34:E34"/>
    <mergeCell ref="D35:E35"/>
    <mergeCell ref="D36:E36"/>
    <mergeCell ref="G36:J37"/>
    <mergeCell ref="D22:E22"/>
    <mergeCell ref="C11:I11"/>
    <mergeCell ref="A13:E13"/>
    <mergeCell ref="F13:H13"/>
    <mergeCell ref="A14:B14"/>
    <mergeCell ref="C14:E14"/>
    <mergeCell ref="D15:E15"/>
    <mergeCell ref="A21:B21"/>
    <mergeCell ref="C21:D21"/>
    <mergeCell ref="C6:J6"/>
  </mergeCells>
  <conditionalFormatting sqref="G35">
    <cfRule type="cellIs" dxfId="1" priority="1" stopIfTrue="1" operator="equal">
      <formula>0</formula>
    </cfRule>
    <cfRule type="cellIs" dxfId="0" priority="2" stopIfTrue="1" operator="equal">
      <formula>"FORA DO LIMITE !"</formula>
    </cfRule>
  </conditionalFormatting>
  <dataValidations count="2">
    <dataValidation allowBlank="1" showInputMessage="1" showErrorMessage="1" prompt="Percentual de alíquota vigente no município de execução das obras" sqref="D28" xr:uid="{00000000-0002-0000-0600-000000000000}">
      <formula1>0</formula1>
      <formula2>0</formula2>
    </dataValidation>
    <dataValidation type="decimal" allowBlank="1" showInputMessage="1" showErrorMessage="1" prompt="O valor proposto nesta célula deve estar entre o 1º Quartil e o 3º Quartil." sqref="I15:I18 I22" xr:uid="{00000000-0002-0000-0600-000001000000}">
      <formula1>F15</formula1>
      <formula2>H15</formula2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55" firstPageNumber="0" orientation="portrait" horizontalDpi="300" verticalDpi="300" r:id="rId1"/>
  <headerFooter alignWithMargins="0">
    <oddHeader>&amp;C&amp;"Times New Roman,Normal"&amp;12&amp;G</oddHeader>
    <oddFooter>&amp;C&amp;14End: Tv. Estrela, nº 406 - B. Bairro: Bom Jesus, Mãe do Rio - PA&amp;R&amp;P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27"/>
  <sheetViews>
    <sheetView view="pageBreakPreview" zoomScale="80" zoomScaleNormal="80" zoomScaleSheetLayoutView="80" workbookViewId="0">
      <selection activeCell="A19" sqref="A18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6.6640625" style="845" customWidth="1"/>
    <col min="7" max="7" width="8.77734375" style="845" customWidth="1"/>
    <col min="8" max="8" width="9.33203125" style="845" customWidth="1"/>
    <col min="9" max="11" width="8.77734375" style="845" customWidth="1"/>
    <col min="12" max="12" width="10.6640625" style="845" customWidth="1"/>
    <col min="13" max="256" width="11.44140625" customWidth="1"/>
  </cols>
  <sheetData>
    <row r="1" spans="1:12" ht="15.6" x14ac:dyDescent="0.3">
      <c r="A1" s="1617" t="str">
        <f>'[1]Planilha orçamentária'!E4</f>
        <v>PROJETO BÁSICO DE ENGENHARIA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</row>
    <row r="2" spans="1:12" ht="8.25" customHeight="1" x14ac:dyDescent="0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</row>
    <row r="3" spans="1:12" ht="13.8" x14ac:dyDescent="0.25">
      <c r="A3" s="1826" t="str">
        <f>ORÇAMENTÁRIA!D1</f>
        <v>J J BORGES DE OLIVEIRA EIRELI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846" t="s">
        <v>411</v>
      </c>
    </row>
    <row r="4" spans="1:12" x14ac:dyDescent="0.25">
      <c r="A4" s="1825" t="str">
        <f>ORÇAMENTÁRIA!D2</f>
        <v>20.129.307/0001-02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847"/>
    </row>
    <row r="5" spans="1:12" x14ac:dyDescent="0.25">
      <c r="A5" s="848"/>
      <c r="B5" s="849"/>
      <c r="C5" s="850"/>
      <c r="D5" s="851"/>
      <c r="E5" s="852"/>
      <c r="F5" s="850"/>
      <c r="G5" s="850"/>
      <c r="H5" s="850"/>
      <c r="I5" s="850"/>
      <c r="J5" s="850"/>
      <c r="K5" s="853"/>
      <c r="L5" s="854" t="s">
        <v>412</v>
      </c>
    </row>
    <row r="6" spans="1:12" x14ac:dyDescent="0.25">
      <c r="A6" s="855"/>
      <c r="B6" s="855"/>
      <c r="C6" s="856"/>
      <c r="D6" s="857"/>
      <c r="E6" s="857"/>
      <c r="F6" s="858"/>
      <c r="G6" s="858"/>
      <c r="H6" s="858"/>
      <c r="I6" s="858"/>
      <c r="J6" s="858"/>
      <c r="K6" s="858"/>
      <c r="L6" s="859"/>
    </row>
    <row r="7" spans="1:12" x14ac:dyDescent="0.25">
      <c r="A7" s="1620"/>
      <c r="B7" s="1620"/>
      <c r="C7" s="1620"/>
      <c r="D7" s="1620"/>
      <c r="E7" s="1620"/>
      <c r="F7" s="1620"/>
      <c r="G7" s="1620"/>
      <c r="H7" s="1620"/>
      <c r="I7" s="1620"/>
      <c r="J7" s="1620"/>
      <c r="K7" s="1620"/>
      <c r="L7" s="1620"/>
    </row>
    <row r="8" spans="1:12" x14ac:dyDescent="0.25">
      <c r="A8" s="1616" t="s">
        <v>413</v>
      </c>
      <c r="B8" s="1616"/>
      <c r="C8" s="1616"/>
      <c r="D8" s="1616"/>
      <c r="E8" s="860" t="str">
        <f>'[1]Planilha orçamentária'!E9</f>
        <v>Construção / Recuperação e complementação de estradas vicinais</v>
      </c>
      <c r="F8" s="861"/>
      <c r="G8" s="861"/>
      <c r="H8" s="861"/>
      <c r="I8" s="861"/>
      <c r="J8" s="861"/>
      <c r="K8" s="861"/>
      <c r="L8" s="862"/>
    </row>
    <row r="9" spans="1:12" x14ac:dyDescent="0.25">
      <c r="A9" s="863"/>
      <c r="B9" s="851"/>
      <c r="C9" s="864"/>
      <c r="D9" s="851"/>
      <c r="E9" s="851"/>
      <c r="F9" s="850"/>
      <c r="G9" s="850"/>
      <c r="H9" s="850"/>
      <c r="I9" s="850"/>
      <c r="J9" s="850"/>
      <c r="K9" s="850"/>
      <c r="L9" s="865"/>
    </row>
    <row r="10" spans="1:12" x14ac:dyDescent="0.25">
      <c r="A10" s="858"/>
      <c r="B10" s="858"/>
      <c r="C10" s="858"/>
      <c r="D10" s="858"/>
      <c r="E10" s="858"/>
      <c r="F10" s="858"/>
      <c r="G10" s="858"/>
      <c r="H10" s="858"/>
      <c r="I10" s="858"/>
      <c r="J10" s="858"/>
      <c r="K10" s="858"/>
      <c r="L10" s="859"/>
    </row>
    <row r="11" spans="1:12" x14ac:dyDescent="0.25">
      <c r="A11" s="1621" t="s">
        <v>414</v>
      </c>
      <c r="B11" s="1621"/>
      <c r="C11" s="1621"/>
      <c r="D11" s="1621"/>
      <c r="E11" s="1621"/>
      <c r="F11" s="1621"/>
      <c r="G11" s="1621"/>
      <c r="H11" s="1621"/>
      <c r="I11" s="1621"/>
      <c r="J11" s="1621"/>
      <c r="K11" s="1621"/>
      <c r="L11" s="1621"/>
    </row>
    <row r="12" spans="1:12" ht="9.4499999999999993" customHeight="1" x14ac:dyDescent="0.25">
      <c r="A12" s="1621"/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</row>
    <row r="13" spans="1:12" x14ac:dyDescent="0.25">
      <c r="A13" s="866"/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</row>
    <row r="14" spans="1:12" x14ac:dyDescent="0.25">
      <c r="A14" s="867" t="s">
        <v>415</v>
      </c>
      <c r="B14" s="868"/>
      <c r="C14" s="868"/>
      <c r="D14" s="869" t="str">
        <f>'[1]Planilha orçamentária'!B17</f>
        <v>1.1</v>
      </c>
      <c r="E14" s="1622" t="s">
        <v>416</v>
      </c>
      <c r="F14" s="1622"/>
      <c r="G14" s="1622"/>
      <c r="H14" s="1622"/>
      <c r="I14" s="1622"/>
      <c r="J14" s="1622"/>
      <c r="K14" s="871" t="s">
        <v>417</v>
      </c>
      <c r="L14" s="872" t="s">
        <v>418</v>
      </c>
    </row>
    <row r="15" spans="1:12" x14ac:dyDescent="0.25">
      <c r="A15" s="873"/>
      <c r="B15" s="873"/>
      <c r="C15" s="873"/>
      <c r="D15" s="873"/>
      <c r="E15" s="873"/>
      <c r="F15" s="873"/>
      <c r="G15" s="873"/>
      <c r="H15" s="873"/>
      <c r="I15" s="873"/>
      <c r="J15" s="873"/>
      <c r="K15" s="873"/>
      <c r="L15" s="873"/>
    </row>
    <row r="16" spans="1:12" x14ac:dyDescent="0.25">
      <c r="A16" s="874"/>
      <c r="B16" s="875"/>
      <c r="C16" s="875"/>
      <c r="D16" s="875"/>
      <c r="E16" s="876"/>
      <c r="F16" s="875"/>
      <c r="G16" s="875"/>
      <c r="H16" s="875"/>
      <c r="I16" s="875"/>
      <c r="J16" s="875"/>
      <c r="K16" s="875"/>
      <c r="L16" s="877"/>
    </row>
    <row r="17" spans="1:14" ht="15.75" customHeight="1" x14ac:dyDescent="0.25">
      <c r="A17" s="878"/>
      <c r="B17" s="879"/>
      <c r="C17" s="879"/>
      <c r="D17" s="1623" t="s">
        <v>419</v>
      </c>
      <c r="E17" s="1623"/>
      <c r="F17" s="1623" t="s">
        <v>420</v>
      </c>
      <c r="G17" s="1623"/>
      <c r="H17" s="1623" t="s">
        <v>421</v>
      </c>
      <c r="I17" s="1623"/>
      <c r="J17" s="1624"/>
      <c r="K17" s="1624"/>
      <c r="L17" s="880"/>
    </row>
    <row r="18" spans="1:14" x14ac:dyDescent="0.25">
      <c r="A18" s="878"/>
      <c r="B18" s="855"/>
      <c r="C18" s="855"/>
      <c r="D18" s="1626" t="s">
        <v>422</v>
      </c>
      <c r="E18" s="1626"/>
      <c r="F18" s="881">
        <v>10</v>
      </c>
      <c r="G18" s="882" t="s">
        <v>38</v>
      </c>
      <c r="H18" s="883">
        <v>60</v>
      </c>
      <c r="I18" s="884" t="s">
        <v>423</v>
      </c>
      <c r="J18" s="1627"/>
      <c r="K18" s="1628"/>
      <c r="L18" s="880"/>
    </row>
    <row r="19" spans="1:14" x14ac:dyDescent="0.25">
      <c r="A19" s="878"/>
      <c r="B19" s="855"/>
      <c r="C19" s="855"/>
      <c r="D19" s="1626" t="s">
        <v>424</v>
      </c>
      <c r="E19" s="1626"/>
      <c r="F19" s="881">
        <v>10</v>
      </c>
      <c r="G19" s="882" t="s">
        <v>38</v>
      </c>
      <c r="H19" s="883">
        <v>50</v>
      </c>
      <c r="I19" s="884" t="s">
        <v>423</v>
      </c>
      <c r="J19" s="1627"/>
      <c r="K19" s="1628"/>
      <c r="L19" s="880"/>
    </row>
    <row r="20" spans="1:14" x14ac:dyDescent="0.25">
      <c r="A20" s="878"/>
      <c r="B20" s="855"/>
      <c r="C20" s="855"/>
      <c r="D20" s="1626" t="s">
        <v>425</v>
      </c>
      <c r="E20" s="1626"/>
      <c r="F20" s="881">
        <v>20</v>
      </c>
      <c r="G20" s="882" t="s">
        <v>38</v>
      </c>
      <c r="H20" s="883">
        <v>40</v>
      </c>
      <c r="I20" s="884" t="s">
        <v>423</v>
      </c>
      <c r="J20" s="1627"/>
      <c r="K20" s="1628"/>
      <c r="L20" s="880"/>
    </row>
    <row r="21" spans="1:14" x14ac:dyDescent="0.25">
      <c r="A21" s="878"/>
      <c r="B21" s="855"/>
      <c r="C21" s="855"/>
      <c r="D21" s="855"/>
      <c r="E21" s="855"/>
      <c r="F21" s="855"/>
      <c r="G21" s="855"/>
      <c r="H21" s="855"/>
      <c r="I21" s="855"/>
      <c r="J21" s="855"/>
      <c r="K21" s="855"/>
      <c r="L21" s="880"/>
    </row>
    <row r="22" spans="1:14" ht="14.7" customHeight="1" x14ac:dyDescent="0.25">
      <c r="A22" s="1629" t="s">
        <v>426</v>
      </c>
      <c r="B22" s="1629"/>
      <c r="C22" s="1629"/>
      <c r="D22" s="1629"/>
      <c r="E22" s="1629"/>
      <c r="F22" s="1629"/>
      <c r="G22" s="1630" t="s">
        <v>294</v>
      </c>
      <c r="H22" s="1631" t="s">
        <v>427</v>
      </c>
      <c r="I22" s="1631" t="s">
        <v>428</v>
      </c>
      <c r="J22" s="1631" t="s">
        <v>429</v>
      </c>
      <c r="K22" s="1631" t="s">
        <v>430</v>
      </c>
      <c r="L22" s="1631" t="s">
        <v>431</v>
      </c>
    </row>
    <row r="23" spans="1:14" ht="20.25" customHeight="1" x14ac:dyDescent="0.25">
      <c r="A23" s="1629"/>
      <c r="B23" s="1629"/>
      <c r="C23" s="1629"/>
      <c r="D23" s="1629"/>
      <c r="E23" s="1629"/>
      <c r="F23" s="1629"/>
      <c r="G23" s="1630"/>
      <c r="H23" s="1631"/>
      <c r="I23" s="1631"/>
      <c r="J23" s="1631"/>
      <c r="K23" s="1631"/>
      <c r="L23" s="1631"/>
    </row>
    <row r="24" spans="1:14" x14ac:dyDescent="0.25">
      <c r="A24" s="888" t="s">
        <v>432</v>
      </c>
      <c r="B24" s="889"/>
      <c r="C24" s="890"/>
      <c r="D24" s="891"/>
      <c r="E24" s="892"/>
      <c r="F24" s="892"/>
      <c r="G24" s="890"/>
      <c r="H24" s="893"/>
      <c r="I24" s="894"/>
      <c r="J24" s="895"/>
      <c r="K24" s="896"/>
      <c r="L24" s="897"/>
    </row>
    <row r="25" spans="1:14" x14ac:dyDescent="0.25">
      <c r="A25" s="898"/>
      <c r="B25" s="899" t="s">
        <v>256</v>
      </c>
      <c r="C25" s="900"/>
      <c r="D25" s="901" t="s">
        <v>433</v>
      </c>
      <c r="E25" s="902"/>
      <c r="F25" s="902"/>
      <c r="G25" s="900"/>
      <c r="H25" s="903"/>
      <c r="I25" s="904"/>
      <c r="J25" s="905"/>
      <c r="K25" s="906"/>
      <c r="L25" s="907"/>
    </row>
    <row r="26" spans="1:14" ht="9.4499999999999993" customHeight="1" x14ac:dyDescent="0.25">
      <c r="A26" s="898"/>
      <c r="B26" s="899" t="str">
        <f>'[1]Composições - Equipamentos'!B54</f>
        <v>E9666</v>
      </c>
      <c r="C26" s="900"/>
      <c r="D26" s="908">
        <v>1</v>
      </c>
      <c r="E26" s="909" t="str">
        <f>'[1]Composições - Equipamentos'!C54</f>
        <v>Cavalo mecânico com semi-reboque e capacidade de 30 t - 240 kW (Axor 2041 - Mercedes-Benz / Randon)</v>
      </c>
      <c r="F26" s="855"/>
      <c r="G26" s="900"/>
      <c r="H26" s="903"/>
      <c r="I26" s="904"/>
      <c r="J26" s="905"/>
      <c r="K26" s="906"/>
      <c r="L26" s="907"/>
    </row>
    <row r="27" spans="1:14" x14ac:dyDescent="0.25">
      <c r="A27" s="898"/>
      <c r="B27" s="899" t="str">
        <f>'[1]Composições - Equipamentos'!B18</f>
        <v>E9508</v>
      </c>
      <c r="C27" s="900"/>
      <c r="D27" s="908">
        <v>2</v>
      </c>
      <c r="E27" s="909" t="str">
        <f>'[1]Composições - Equipamentos'!C18</f>
        <v>Caminhão carroceria com capacidade de 9 t - 136 kW (Atego 1419 - Mercedes-Benz)</v>
      </c>
      <c r="F27" s="855"/>
      <c r="G27" s="900"/>
      <c r="H27" s="903"/>
      <c r="I27" s="904"/>
      <c r="J27" s="905"/>
      <c r="K27" s="906"/>
      <c r="L27" s="907"/>
    </row>
    <row r="28" spans="1:14" x14ac:dyDescent="0.25">
      <c r="A28" s="898"/>
      <c r="B28" s="899" t="str">
        <f>'[1]Composições - Equipamentos'!B45</f>
        <v>E9579</v>
      </c>
      <c r="C28" s="900"/>
      <c r="D28" s="908">
        <v>3</v>
      </c>
      <c r="E28" s="909" t="str">
        <f>'[1]Composições - Equipamentos'!C45</f>
        <v>Caminhão basculante com capacidade de 10 m³ - 188 kW (Atron 2729  - Mercedes-Benz)</v>
      </c>
      <c r="F28" s="855"/>
      <c r="G28" s="900"/>
      <c r="H28" s="903"/>
      <c r="I28" s="904"/>
      <c r="J28" s="905"/>
      <c r="K28" s="906"/>
      <c r="L28" s="907"/>
    </row>
    <row r="29" spans="1:14" x14ac:dyDescent="0.25">
      <c r="A29" s="898"/>
      <c r="B29" s="899" t="str">
        <f>'[1]Composições - Equipamentos'!B57</f>
        <v>E9667</v>
      </c>
      <c r="C29" s="900"/>
      <c r="D29" s="908">
        <v>4</v>
      </c>
      <c r="E29" s="909" t="str">
        <f>'[1]Composições - Equipamentos'!C57</f>
        <v>Caminhão basculante com capacidade de 14 m³ - 323 kW</v>
      </c>
      <c r="F29" s="855"/>
      <c r="G29" s="900"/>
      <c r="H29" s="903"/>
      <c r="I29" s="904"/>
      <c r="J29" s="905"/>
      <c r="K29" s="906"/>
      <c r="L29" s="910"/>
    </row>
    <row r="30" spans="1:14" x14ac:dyDescent="0.25">
      <c r="A30" s="898"/>
      <c r="B30" s="899" t="str">
        <f>'[1]Composições - Equipamentos'!B62</f>
        <v>E9686</v>
      </c>
      <c r="C30" s="900"/>
      <c r="D30" s="908">
        <v>5</v>
      </c>
      <c r="E30" s="909" t="str">
        <f>'[1]Composições - Equipamentos'!C62</f>
        <v>Caminhão carroceria com guindauto com capacidade de 20 t.m - 136 kW</v>
      </c>
      <c r="F30" s="855"/>
      <c r="G30" s="900"/>
      <c r="H30" s="904"/>
      <c r="I30" s="904"/>
      <c r="J30" s="905"/>
      <c r="K30" s="907"/>
      <c r="L30" s="1632">
        <f>ROUND(SUM(L32:L47),4)</f>
        <v>2495.6017000000002</v>
      </c>
    </row>
    <row r="31" spans="1:14" x14ac:dyDescent="0.25">
      <c r="A31" s="912"/>
      <c r="B31" s="913"/>
      <c r="C31" s="914"/>
      <c r="D31" s="915"/>
      <c r="E31" s="916"/>
      <c r="F31" s="917"/>
      <c r="G31" s="914"/>
      <c r="H31" s="918"/>
      <c r="I31" s="918"/>
      <c r="J31" s="919"/>
      <c r="K31" s="920"/>
      <c r="L31" s="1632"/>
      <c r="N31">
        <v>0.4</v>
      </c>
    </row>
    <row r="32" spans="1:14" ht="18.75" customHeight="1" x14ac:dyDescent="0.25">
      <c r="A32" s="921" t="str">
        <f>'[1]Composições - Equipamentos'!A16</f>
        <v>DNIT –</v>
      </c>
      <c r="B32" s="901" t="str">
        <f>'[1]Composições - Equipamentos'!B16</f>
        <v>E9502</v>
      </c>
      <c r="C32" s="922" t="s">
        <v>434</v>
      </c>
      <c r="D32" s="923" t="str">
        <f>'[1]Composições - Equipamentos'!C16</f>
        <v>Bate-estaca de gravidade para 3,5 a 4,0 t - 119 Kw</v>
      </c>
      <c r="E32" s="923"/>
      <c r="F32" s="924"/>
      <c r="G32" s="925"/>
      <c r="H32" s="926"/>
      <c r="I32" s="925"/>
      <c r="J32" s="927">
        <v>1</v>
      </c>
      <c r="K32" s="928">
        <f>IF(H32=1,'[1]Composições - Equipamentos'!$S$54,IF(H32=2,'[1]Composições - Equipamentos'!$S$18,IF(H32=3,'[1]Composições - Equipamentos'!$S$45,IF(H32=4,'[1]Composições - Equipamentos'!$S$57,IF(H32=5,'[1]Composições - Equipamentos'!$S$62,0)))))</f>
        <v>0</v>
      </c>
      <c r="L32" s="929">
        <f t="shared" ref="L32:L46" si="0">ROUND((((($F$18*I32*J32)/$H$18)*K32)+((($F$19*I32*J32)/$H$19)*K32)+((($F$20*I32*J32)/$H$20)*K32))*G32,4)</f>
        <v>0</v>
      </c>
      <c r="N32">
        <v>0</v>
      </c>
    </row>
    <row r="33" spans="1:15" ht="22.5" customHeight="1" x14ac:dyDescent="0.25">
      <c r="A33" s="921" t="str">
        <f>'[1]Composições - Equipamentos'!A21</f>
        <v>DNIT –</v>
      </c>
      <c r="B33" s="901" t="str">
        <f>'[1]Composições - Equipamentos'!B21</f>
        <v>E9511</v>
      </c>
      <c r="C33" s="922" t="s">
        <v>434</v>
      </c>
      <c r="D33" s="1625" t="str">
        <f>'[1]Composições - Equipamentos'!C21</f>
        <v>Carregadeira de pneus com capacidade de 3,30 m³ - 213 kW (950H - Caterpillar)</v>
      </c>
      <c r="E33" s="1625"/>
      <c r="F33" s="1625"/>
      <c r="G33" s="930"/>
      <c r="H33" s="926"/>
      <c r="I33" s="925"/>
      <c r="J33" s="927">
        <v>0.5</v>
      </c>
      <c r="K33" s="928">
        <f>IF(H33=1,'[1]Composições - Equipamentos'!$S$54,IF(H33=2,'[1]Composições - Equipamentos'!$S$18,IF(H33=3,'[1]Composições - Equipamentos'!$S$45,IF(H33=4,'[1]Composições - Equipamentos'!$S$57,IF(H33=5,'[1]Composições - Equipamentos'!$S$62,0)))))</f>
        <v>0</v>
      </c>
      <c r="L33" s="929">
        <f t="shared" si="0"/>
        <v>0</v>
      </c>
      <c r="N33">
        <v>0</v>
      </c>
    </row>
    <row r="34" spans="1:15" ht="44.25" customHeight="1" x14ac:dyDescent="0.25">
      <c r="A34" s="921" t="str">
        <f>'[1]Composições - Equipamentos'!A22</f>
        <v>DNIT –</v>
      </c>
      <c r="B34" s="901" t="str">
        <f>'[1]Composições - Equipamentos'!B22</f>
        <v>E9515</v>
      </c>
      <c r="C34" s="922" t="s">
        <v>434</v>
      </c>
      <c r="D34" s="1625" t="str">
        <f>'[1]Composições - Equipamentos'!C22</f>
        <v>Escavadeira hidráulica sobre esteira com caçamba com capacidade de 1,50 m³ - 110 kW (323 DL-Caterpillar)</v>
      </c>
      <c r="E34" s="1625"/>
      <c r="F34" s="1625"/>
      <c r="G34" s="925">
        <v>1</v>
      </c>
      <c r="H34" s="931">
        <v>1</v>
      </c>
      <c r="I34" s="925">
        <v>2</v>
      </c>
      <c r="J34" s="927">
        <v>1</v>
      </c>
      <c r="K34" s="932">
        <v>272.06280000000004</v>
      </c>
      <c r="L34" s="929">
        <f t="shared" si="0"/>
        <v>471.57549999999998</v>
      </c>
      <c r="N34">
        <v>272.46280000000002</v>
      </c>
      <c r="O34">
        <f>N34-$N$31</f>
        <v>272.06280000000004</v>
      </c>
    </row>
    <row r="35" spans="1:15" ht="27.75" customHeight="1" x14ac:dyDescent="0.25">
      <c r="A35" s="921" t="str">
        <f>'[1]Composições - Equipamentos'!A24</f>
        <v>DNIT –</v>
      </c>
      <c r="B35" s="901" t="str">
        <f>'[1]Composições - Equipamentos'!B24</f>
        <v>E9518</v>
      </c>
      <c r="C35" s="922" t="s">
        <v>434</v>
      </c>
      <c r="D35" s="1625" t="str">
        <f>'[1]Composições - Equipamentos'!C24</f>
        <v>Grade de 24 discos rebocável de 24" (GAM 24 x 24" - Marchesan)</v>
      </c>
      <c r="E35" s="1625"/>
      <c r="F35" s="1625"/>
      <c r="G35" s="925">
        <v>1</v>
      </c>
      <c r="H35" s="931">
        <v>2</v>
      </c>
      <c r="I35" s="925">
        <v>1</v>
      </c>
      <c r="J35" s="927">
        <v>1</v>
      </c>
      <c r="K35" s="932">
        <v>158.91229999999999</v>
      </c>
      <c r="L35" s="929">
        <f t="shared" si="0"/>
        <v>137.72399999999999</v>
      </c>
      <c r="N35">
        <v>159.31229999999999</v>
      </c>
      <c r="O35">
        <f t="shared" ref="O35:O45" si="1">N35-$N$31</f>
        <v>158.91229999999999</v>
      </c>
    </row>
    <row r="36" spans="1:15" x14ac:dyDescent="0.25">
      <c r="A36" s="921" t="str">
        <f>'[1]Composições - Equipamentos'!A27</f>
        <v>DNIT –</v>
      </c>
      <c r="B36" s="901" t="str">
        <f>'[1]Composições - Equipamentos'!B27</f>
        <v>E9524</v>
      </c>
      <c r="C36" s="922" t="s">
        <v>434</v>
      </c>
      <c r="D36" s="923" t="str">
        <f>'[1]Composições - Equipamentos'!C27</f>
        <v>Motoniveladora - 93 kW (120K - Caterpillar)</v>
      </c>
      <c r="E36" s="923"/>
      <c r="F36" s="924"/>
      <c r="G36" s="925">
        <v>2</v>
      </c>
      <c r="H36" s="931">
        <v>1</v>
      </c>
      <c r="I36" s="925">
        <v>2</v>
      </c>
      <c r="J36" s="927">
        <v>1</v>
      </c>
      <c r="K36" s="932">
        <v>272.06280000000004</v>
      </c>
      <c r="L36" s="929">
        <f t="shared" si="0"/>
        <v>943.15099999999995</v>
      </c>
      <c r="N36">
        <v>272.46280000000002</v>
      </c>
      <c r="O36">
        <f t="shared" si="1"/>
        <v>272.06280000000004</v>
      </c>
    </row>
    <row r="37" spans="1:15" ht="19.5" customHeight="1" x14ac:dyDescent="0.25">
      <c r="A37" s="921" t="str">
        <f>'[1]Composições - Equipamentos'!A28</f>
        <v>DNIT –</v>
      </c>
      <c r="B37" s="901" t="str">
        <f>'[1]Composições - Equipamentos'!B28</f>
        <v>E9526</v>
      </c>
      <c r="C37" s="922" t="s">
        <v>434</v>
      </c>
      <c r="D37" s="923" t="str">
        <f>'[1]Composições - Equipamentos'!C28</f>
        <v>Retroescavadeira de pneus - 58 kW (416E - Caterpillar)</v>
      </c>
      <c r="E37" s="923"/>
      <c r="F37" s="924"/>
      <c r="G37" s="925"/>
      <c r="H37" s="931"/>
      <c r="I37" s="925"/>
      <c r="J37" s="927">
        <v>0.5</v>
      </c>
      <c r="K37" s="932">
        <f>IF(H37=1,'[1]Composições - Equipamentos'!$S$54,IF(H37=2,'[1]Composições - Equipamentos'!$S$18,IF(H37=3,'[1]Composições - Equipamentos'!$S$45,IF(H37=4,'[1]Composições - Equipamentos'!$S$57,IF(H37=5,'[1]Composições - Equipamentos'!$S$62,0)))))</f>
        <v>0</v>
      </c>
      <c r="L37" s="929">
        <f t="shared" si="0"/>
        <v>0</v>
      </c>
      <c r="N37">
        <v>0</v>
      </c>
      <c r="O37">
        <f t="shared" si="1"/>
        <v>-0.4</v>
      </c>
    </row>
    <row r="38" spans="1:15" ht="27.75" customHeight="1" x14ac:dyDescent="0.25">
      <c r="A38" s="921" t="str">
        <f>'[1]Composições - Equipamentos'!A30</f>
        <v>DNIT –</v>
      </c>
      <c r="B38" s="901" t="str">
        <f>'[1]Composições - Equipamentos'!B30</f>
        <v>E9530</v>
      </c>
      <c r="C38" s="922" t="s">
        <v>434</v>
      </c>
      <c r="D38" s="1625" t="str">
        <f>'[1]Composições - Equipamentos'!C30</f>
        <v>Rolo compactador liso autopropelido vibratório de 11 t - 97 kW</v>
      </c>
      <c r="E38" s="1625"/>
      <c r="F38" s="1625"/>
      <c r="G38" s="925"/>
      <c r="H38" s="931"/>
      <c r="I38" s="925"/>
      <c r="J38" s="927">
        <v>0.5</v>
      </c>
      <c r="K38" s="932">
        <f>IF(H38=1,'[1]Composições - Equipamentos'!$S$54,IF(H38=2,'[1]Composições - Equipamentos'!$S$18,IF(H38=3,'[1]Composições - Equipamentos'!$S$45,IF(H38=4,'[1]Composições - Equipamentos'!$S$57,IF(H38=5,'[1]Composições - Equipamentos'!$S$62,0)))))</f>
        <v>0</v>
      </c>
      <c r="L38" s="929">
        <f t="shared" si="0"/>
        <v>0</v>
      </c>
      <c r="N38">
        <v>0</v>
      </c>
      <c r="O38">
        <f t="shared" si="1"/>
        <v>-0.4</v>
      </c>
    </row>
    <row r="39" spans="1:15" ht="30" customHeight="1" x14ac:dyDescent="0.25">
      <c r="A39" s="921" t="str">
        <f>'[1]Composições - Equipamentos'!A34</f>
        <v>DNIT –</v>
      </c>
      <c r="B39" s="901" t="str">
        <f>'[1]Composições - Equipamentos'!B34</f>
        <v>E9537</v>
      </c>
      <c r="C39" s="922" t="s">
        <v>434</v>
      </c>
      <c r="D39" s="1625" t="str">
        <f>'[1]Composições - Equipamentos'!C34</f>
        <v>Carregadeira de pneus com capacidade de 1,72 m³ - 113 kW (W20E - Case Construction)</v>
      </c>
      <c r="E39" s="1625"/>
      <c r="F39" s="1625"/>
      <c r="G39" s="925">
        <v>1</v>
      </c>
      <c r="H39" s="931">
        <v>1</v>
      </c>
      <c r="I39" s="925">
        <v>2</v>
      </c>
      <c r="J39" s="927">
        <v>0.5</v>
      </c>
      <c r="K39" s="932">
        <v>272.06280000000004</v>
      </c>
      <c r="L39" s="929">
        <f t="shared" si="0"/>
        <v>235.7878</v>
      </c>
      <c r="N39">
        <v>272.46280000000002</v>
      </c>
      <c r="O39">
        <f t="shared" si="1"/>
        <v>272.06280000000004</v>
      </c>
    </row>
    <row r="40" spans="1:15" x14ac:dyDescent="0.25">
      <c r="A40" s="921" t="str">
        <f>'[1]Composições - Equipamentos'!A35</f>
        <v>DNIT –</v>
      </c>
      <c r="B40" s="901" t="str">
        <f>'[1]Composições - Equipamentos'!B35</f>
        <v>E9540</v>
      </c>
      <c r="C40" s="922" t="s">
        <v>434</v>
      </c>
      <c r="D40" s="923" t="str">
        <f>'[1]Composições - Equipamentos'!C35</f>
        <v>Trator de esteiras com lâmina - 112 kW (D6N - Caterpillar)</v>
      </c>
      <c r="E40" s="923"/>
      <c r="F40" s="924"/>
      <c r="G40" s="925">
        <v>1</v>
      </c>
      <c r="H40" s="931">
        <v>1</v>
      </c>
      <c r="I40" s="925">
        <v>2</v>
      </c>
      <c r="J40" s="927">
        <v>0.5</v>
      </c>
      <c r="K40" s="932">
        <v>272.06280000000004</v>
      </c>
      <c r="L40" s="929">
        <f t="shared" si="0"/>
        <v>235.7878</v>
      </c>
      <c r="N40">
        <v>272.46280000000002</v>
      </c>
      <c r="O40">
        <f t="shared" si="1"/>
        <v>272.06280000000004</v>
      </c>
    </row>
    <row r="41" spans="1:15" x14ac:dyDescent="0.25">
      <c r="A41" s="921" t="str">
        <f>'[1]Composições - Equipamentos'!A36</f>
        <v>DNIT –</v>
      </c>
      <c r="B41" s="901" t="str">
        <f>'[1]Composições - Equipamentos'!B36</f>
        <v>E9541</v>
      </c>
      <c r="C41" s="922" t="s">
        <v>434</v>
      </c>
      <c r="D41" s="923" t="str">
        <f>'[1]Composições - Equipamentos'!C36</f>
        <v>Trator de esteiras com lâmina - 259 kW (D8T - Caterpillar)</v>
      </c>
      <c r="E41" s="923"/>
      <c r="F41" s="924"/>
      <c r="G41" s="925"/>
      <c r="H41" s="931"/>
      <c r="I41" s="925"/>
      <c r="J41" s="927">
        <v>1</v>
      </c>
      <c r="K41" s="932">
        <f>IF(H41=1,'[1]Composições - Equipamentos'!$S$54,IF(H41=2,'[1]Composições - Equipamentos'!$S$18,IF(H41=3,'[1]Composições - Equipamentos'!$S$45,IF(H41=4,'[1]Composições - Equipamentos'!$S$57,IF(H41=5,'[1]Composições - Equipamentos'!$S$62,0)))))</f>
        <v>0</v>
      </c>
      <c r="L41" s="929">
        <f t="shared" si="0"/>
        <v>0</v>
      </c>
      <c r="N41">
        <v>0</v>
      </c>
      <c r="O41">
        <f t="shared" si="1"/>
        <v>-0.4</v>
      </c>
    </row>
    <row r="42" spans="1:15" ht="27" customHeight="1" x14ac:dyDescent="0.25">
      <c r="A42" s="921" t="str">
        <f>'[1]Composições - Equipamentos'!A42</f>
        <v>DNIT –</v>
      </c>
      <c r="B42" s="901" t="str">
        <f>'[1]Composições - Equipamentos'!B42</f>
        <v>E9574</v>
      </c>
      <c r="C42" s="922" t="s">
        <v>434</v>
      </c>
      <c r="D42" s="1625" t="str">
        <f>'[1]Composições - Equipamentos'!C42</f>
        <v>Perfuratriz sobre esteiras - 145 kW (Power Roc T35 - Atlas Copco)</v>
      </c>
      <c r="E42" s="1625"/>
      <c r="F42" s="1625"/>
      <c r="G42" s="925"/>
      <c r="H42" s="926"/>
      <c r="I42" s="925"/>
      <c r="J42" s="927">
        <v>0.5</v>
      </c>
      <c r="K42" s="932">
        <f>IF(H42=1,'[1]Composições - Equipamentos'!$S$54,IF(H42=2,'[1]Composições - Equipamentos'!$S$18,IF(H42=3,'[1]Composições - Equipamentos'!$S$45,IF(H42=4,'[1]Composições - Equipamentos'!$S$57,IF(H42=5,'[1]Composições - Equipamentos'!$S$62,0)))))</f>
        <v>0</v>
      </c>
      <c r="L42" s="929">
        <f t="shared" si="0"/>
        <v>0</v>
      </c>
      <c r="N42">
        <v>0</v>
      </c>
      <c r="O42">
        <f t="shared" si="1"/>
        <v>-0.4</v>
      </c>
    </row>
    <row r="43" spans="1:15" ht="9.4499999999999993" customHeight="1" x14ac:dyDescent="0.25">
      <c r="A43" s="921" t="str">
        <f>'[1]Composições - Equipamentos'!A44</f>
        <v>DNIT –</v>
      </c>
      <c r="B43" s="901" t="str">
        <f>'[1]Composições - Equipamentos'!B44</f>
        <v>E9577</v>
      </c>
      <c r="C43" s="922" t="s">
        <v>434</v>
      </c>
      <c r="D43" s="923" t="str">
        <f>'[1]Composições - Equipamentos'!C44</f>
        <v>Trator agrícola - 77 kW (MF 4292 - Massey Ferguson)</v>
      </c>
      <c r="E43" s="923"/>
      <c r="F43" s="924"/>
      <c r="G43" s="925">
        <v>1</v>
      </c>
      <c r="H43" s="931">
        <v>1</v>
      </c>
      <c r="I43" s="925">
        <v>2</v>
      </c>
      <c r="J43" s="927">
        <v>0.5</v>
      </c>
      <c r="K43" s="932">
        <v>272.06280000000004</v>
      </c>
      <c r="L43" s="929">
        <f t="shared" si="0"/>
        <v>235.7878</v>
      </c>
      <c r="N43">
        <v>272.46280000000002</v>
      </c>
      <c r="O43">
        <f t="shared" si="1"/>
        <v>272.06280000000004</v>
      </c>
    </row>
    <row r="44" spans="1:15" ht="35.25" customHeight="1" x14ac:dyDescent="0.25">
      <c r="A44" s="921" t="str">
        <f>'[1]Composições - Equipamentos'!A61</f>
        <v>DNIT –</v>
      </c>
      <c r="B44" s="901" t="str">
        <f>'[1]Composições - Equipamentos'!B61</f>
        <v>E9685</v>
      </c>
      <c r="C44" s="922" t="s">
        <v>434</v>
      </c>
      <c r="D44" s="1625" t="str">
        <f>'[1]Composições - Equipamentos'!C61</f>
        <v>Rolo compactador pé de carneiro vibratório autopropelido de 11,6 t - 82 kW (CA 250 D - Dynapac)</v>
      </c>
      <c r="E44" s="1625"/>
      <c r="F44" s="1625"/>
      <c r="G44" s="925">
        <v>1</v>
      </c>
      <c r="H44" s="931">
        <v>1</v>
      </c>
      <c r="I44" s="925">
        <v>2</v>
      </c>
      <c r="J44" s="927">
        <v>0.5</v>
      </c>
      <c r="K44" s="932">
        <v>272.06280000000004</v>
      </c>
      <c r="L44" s="929">
        <f t="shared" si="0"/>
        <v>235.7878</v>
      </c>
      <c r="N44">
        <v>272.46280000000002</v>
      </c>
      <c r="O44">
        <f t="shared" si="1"/>
        <v>272.06280000000004</v>
      </c>
    </row>
    <row r="45" spans="1:15" x14ac:dyDescent="0.25">
      <c r="A45" s="933"/>
      <c r="B45" s="934"/>
      <c r="C45" s="935"/>
      <c r="D45" s="936"/>
      <c r="E45" s="936"/>
      <c r="F45" s="937"/>
      <c r="G45" s="925"/>
      <c r="H45" s="931"/>
      <c r="I45" s="925"/>
      <c r="J45" s="925"/>
      <c r="K45" s="938">
        <f>IF(H45=1,'[1]Composições - Equipamentos'!$S$54,IF(H45=2,'[1]Composições - Equipamentos'!$S$18,IF(H45=3,'[1]Composições - Equipamentos'!$S$45,IF(H45=4,'[1]Composições - Equipamentos'!$S$57,IF(H45=5,'[1]Composições - Equipamentos'!$S$62,0)))))</f>
        <v>0</v>
      </c>
      <c r="L45" s="939">
        <f t="shared" si="0"/>
        <v>0</v>
      </c>
      <c r="O45">
        <f t="shared" si="1"/>
        <v>-0.4</v>
      </c>
    </row>
    <row r="46" spans="1:15" x14ac:dyDescent="0.25">
      <c r="A46" s="933"/>
      <c r="B46" s="934"/>
      <c r="C46" s="935"/>
      <c r="D46" s="1633"/>
      <c r="E46" s="1633"/>
      <c r="F46" s="1633"/>
      <c r="G46" s="925"/>
      <c r="H46" s="931"/>
      <c r="I46" s="925"/>
      <c r="J46" s="925"/>
      <c r="K46" s="938">
        <f>IF(H46=1,'[1]Composições - Equipamentos'!$S$54,IF(H46=2,'[1]Composições - Equipamentos'!$S$18,IF(H46=3,'[1]Composições - Equipamentos'!$S$45,IF(H46=4,'[1]Composições - Equipamentos'!$S$57,IF(H46=5,'[1]Composições - Equipamentos'!$S$62,0)))))</f>
        <v>0</v>
      </c>
      <c r="L46" s="939">
        <f t="shared" si="0"/>
        <v>0</v>
      </c>
    </row>
    <row r="47" spans="1:15" ht="8.25" customHeight="1" x14ac:dyDescent="0.25">
      <c r="A47" s="940"/>
      <c r="B47" s="941"/>
      <c r="C47" s="942"/>
      <c r="D47" s="943"/>
      <c r="E47" s="943"/>
      <c r="F47" s="943"/>
      <c r="G47" s="944"/>
      <c r="H47" s="945"/>
      <c r="I47" s="944"/>
      <c r="J47" s="946"/>
      <c r="K47" s="947"/>
      <c r="L47" s="948"/>
    </row>
    <row r="48" spans="1:15" x14ac:dyDescent="0.25">
      <c r="A48" s="921"/>
      <c r="B48" s="901"/>
      <c r="C48" s="922"/>
      <c r="D48" s="949"/>
      <c r="E48" s="949"/>
      <c r="F48" s="949"/>
      <c r="G48" s="904"/>
      <c r="H48" s="904"/>
      <c r="I48" s="904"/>
      <c r="J48" s="905"/>
      <c r="K48" s="932"/>
      <c r="L48" s="907"/>
    </row>
    <row r="49" spans="1:12" x14ac:dyDescent="0.25">
      <c r="A49" s="950"/>
      <c r="B49" s="951" t="s">
        <v>435</v>
      </c>
      <c r="C49" s="952"/>
      <c r="D49" s="953"/>
      <c r="E49" s="953"/>
      <c r="F49" s="953"/>
      <c r="G49" s="918"/>
      <c r="H49" s="918"/>
      <c r="I49" s="918"/>
      <c r="J49" s="919"/>
      <c r="K49" s="954"/>
      <c r="L49" s="911">
        <f>ROUND(SUM(L50:L55),4)</f>
        <v>0</v>
      </c>
    </row>
    <row r="50" spans="1:12" ht="21" customHeight="1" x14ac:dyDescent="0.25">
      <c r="A50" s="921" t="str">
        <f>'[1]Composições - Equipamentos'!A15</f>
        <v>DNIT –</v>
      </c>
      <c r="B50" s="901" t="str">
        <f>'[1]Composições - Equipamentos'!B15</f>
        <v>E9076</v>
      </c>
      <c r="C50" s="922" t="s">
        <v>434</v>
      </c>
      <c r="D50" s="1625" t="str">
        <f>'[1]Composições - Equipamentos'!C15</f>
        <v>Equipamento de pintura com cabine de 7,00 kW e estufa de 80.000 kCal para pintura eletrostática</v>
      </c>
      <c r="E50" s="1625"/>
      <c r="F50" s="1625"/>
      <c r="G50" s="930"/>
      <c r="H50" s="955"/>
      <c r="I50" s="925"/>
      <c r="J50" s="927">
        <v>0.5</v>
      </c>
      <c r="K50" s="956">
        <f>IF(H50=2,'[1]Composições - Equipamentos'!$S$18,IF(H50=3,'[1]Composições - Equipamentos'!$S$45,IF(H50=4,'[1]Composições - Equipamentos'!$S$57,IF(H50=5,'[1]Composições - Equipamentos'!$S$62,0))))</f>
        <v>0</v>
      </c>
      <c r="L50" s="929">
        <f t="shared" ref="L50:L54" si="2">ROUND((((($F$18*I50*J50)/$H$18)*K50)+((($F$19*I50*J50)/$H$19)*K50)+((($F$20*I50*J50)/$H$20)*K50))*G50,4)</f>
        <v>0</v>
      </c>
    </row>
    <row r="51" spans="1:12" ht="19.5" customHeight="1" x14ac:dyDescent="0.25">
      <c r="A51" s="921" t="str">
        <f>'[1]Composições - Equipamentos'!A31</f>
        <v>DNIT –</v>
      </c>
      <c r="B51" s="901" t="str">
        <f>'[1]Composições - Equipamentos'!B31</f>
        <v>E9531</v>
      </c>
      <c r="C51" s="922" t="s">
        <v>434</v>
      </c>
      <c r="D51" s="1625" t="str">
        <f>'[1]Composições - Equipamentos'!C31</f>
        <v>Equipamento de sondagem a percussão com motobomba - 2,5 kW</v>
      </c>
      <c r="E51" s="1625"/>
      <c r="F51" s="1625"/>
      <c r="G51" s="925"/>
      <c r="H51" s="926"/>
      <c r="I51" s="925"/>
      <c r="J51" s="927">
        <v>1</v>
      </c>
      <c r="K51" s="932">
        <f>IF(H51=2,'[1]Composições - Equipamentos'!$S$18,IF(H51=3,'[1]Composições - Equipamentos'!$S$45,IF(H51=4,'[1]Composições - Equipamentos'!$S$57,IF(H51=5,'[1]Composições - Equipamentos'!$S$62,0))))</f>
        <v>0</v>
      </c>
      <c r="L51" s="929">
        <f t="shared" si="2"/>
        <v>0</v>
      </c>
    </row>
    <row r="52" spans="1:12" ht="32.25" customHeight="1" x14ac:dyDescent="0.25">
      <c r="A52" s="921" t="str">
        <f>'[1]Composições - Equipamentos'!A32</f>
        <v>DNIT –</v>
      </c>
      <c r="B52" s="901" t="str">
        <f>'[1]Composições - Equipamentos'!B32</f>
        <v>E9533</v>
      </c>
      <c r="C52" s="922" t="s">
        <v>434</v>
      </c>
      <c r="D52" s="1625" t="str">
        <f>'[1]Composições - Equipamentos'!C32</f>
        <v>Sonda rotativa com motor, bombas, mastro e cabeçote - 20 kW</v>
      </c>
      <c r="E52" s="1625"/>
      <c r="F52" s="1625"/>
      <c r="G52" s="925"/>
      <c r="H52" s="926"/>
      <c r="I52" s="925"/>
      <c r="J52" s="927">
        <v>1</v>
      </c>
      <c r="K52" s="932">
        <f>IF(H52=2,'[1]Composições - Equipamentos'!$S$18,IF(H52=3,'[1]Composições - Equipamentos'!$S$45,IF(H52=4,'[1]Composições - Equipamentos'!$S$57,IF(H52=5,'[1]Composições - Equipamentos'!$S$62,0))))</f>
        <v>0</v>
      </c>
      <c r="L52" s="929">
        <f t="shared" si="2"/>
        <v>0</v>
      </c>
    </row>
    <row r="53" spans="1:12" x14ac:dyDescent="0.25">
      <c r="A53" s="933"/>
      <c r="B53" s="934"/>
      <c r="C53" s="935"/>
      <c r="D53" s="936"/>
      <c r="E53" s="936"/>
      <c r="F53" s="937"/>
      <c r="G53" s="925"/>
      <c r="H53" s="931"/>
      <c r="I53" s="925"/>
      <c r="J53" s="925"/>
      <c r="K53" s="938">
        <f>IF(H53=1,'[1]Composições - Equipamentos'!$S$54,IF(H53=2,'[1]Composições - Equipamentos'!$S$18,IF(H53=3,'[1]Composições - Equipamentos'!$S$45,IF(H53=4,'[1]Composições - Equipamentos'!$S$57,IF(H53=5,'[1]Composições - Equipamentos'!$S$62,0)))))</f>
        <v>0</v>
      </c>
      <c r="L53" s="939">
        <f t="shared" si="2"/>
        <v>0</v>
      </c>
    </row>
    <row r="54" spans="1:12" x14ac:dyDescent="0.25">
      <c r="A54" s="933"/>
      <c r="B54" s="934"/>
      <c r="C54" s="935"/>
      <c r="D54" s="1633"/>
      <c r="E54" s="1633"/>
      <c r="F54" s="1633"/>
      <c r="G54" s="925"/>
      <c r="H54" s="931"/>
      <c r="I54" s="925"/>
      <c r="J54" s="925"/>
      <c r="K54" s="938">
        <f>IF(H54=1,'[1]Composições - Equipamentos'!$S$54,IF(H54=2,'[1]Composições - Equipamentos'!$S$18,IF(H54=3,'[1]Composições - Equipamentos'!$S$45,IF(H54=4,'[1]Composições - Equipamentos'!$S$57,IF(H54=5,'[1]Composições - Equipamentos'!$S$62,0)))))</f>
        <v>0</v>
      </c>
      <c r="L54" s="939">
        <f t="shared" si="2"/>
        <v>0</v>
      </c>
    </row>
    <row r="55" spans="1:12" ht="8.25" customHeight="1" x14ac:dyDescent="0.25">
      <c r="A55" s="940"/>
      <c r="B55" s="941"/>
      <c r="C55" s="942"/>
      <c r="D55" s="943"/>
      <c r="E55" s="943"/>
      <c r="F55" s="943"/>
      <c r="G55" s="944"/>
      <c r="H55" s="944"/>
      <c r="I55" s="944"/>
      <c r="J55" s="946"/>
      <c r="K55" s="947"/>
      <c r="L55" s="948"/>
    </row>
    <row r="56" spans="1:12" x14ac:dyDescent="0.25">
      <c r="A56" s="921"/>
      <c r="B56" s="901"/>
      <c r="C56" s="922"/>
      <c r="D56" s="949"/>
      <c r="E56" s="949"/>
      <c r="F56" s="957"/>
      <c r="G56" s="958"/>
      <c r="H56" s="958"/>
      <c r="I56" s="958"/>
      <c r="J56" s="959"/>
      <c r="K56" s="932"/>
      <c r="L56" s="907"/>
    </row>
    <row r="57" spans="1:12" ht="21.75" customHeight="1" x14ac:dyDescent="0.25">
      <c r="A57" s="950"/>
      <c r="B57" s="951" t="s">
        <v>436</v>
      </c>
      <c r="C57" s="952"/>
      <c r="D57" s="953"/>
      <c r="E57" s="953"/>
      <c r="F57" s="953"/>
      <c r="G57" s="918"/>
      <c r="H57" s="918"/>
      <c r="I57" s="918"/>
      <c r="J57" s="919"/>
      <c r="K57" s="960"/>
      <c r="L57" s="911">
        <f>ROUND(SUM(L58:L65),4)</f>
        <v>1098.2646999999999</v>
      </c>
    </row>
    <row r="58" spans="1:12" ht="20.25" customHeight="1" x14ac:dyDescent="0.25">
      <c r="A58" s="921" t="str">
        <f>'[1]Composições - Equipamentos'!A18</f>
        <v>DNIT –</v>
      </c>
      <c r="B58" s="901" t="str">
        <f>'[1]Composições - Equipamentos'!B18</f>
        <v>E9508</v>
      </c>
      <c r="C58" s="922" t="s">
        <v>434</v>
      </c>
      <c r="D58" s="1625" t="str">
        <f>'[1]Composições - Equipamentos'!C18</f>
        <v>Caminhão carroceria com capacidade de 9 t - 136 kW (Atego 1419 - Mercedes-Benz)</v>
      </c>
      <c r="E58" s="1625"/>
      <c r="F58" s="1625"/>
      <c r="G58" s="925">
        <v>1</v>
      </c>
      <c r="H58" s="961" t="s">
        <v>437</v>
      </c>
      <c r="I58" s="962">
        <v>1</v>
      </c>
      <c r="J58" s="927">
        <v>1</v>
      </c>
      <c r="K58" s="932">
        <f>INDEX('[1]Composições - Equipamentos'!S9:S70,MATCH(B58,'[1]Composições - Equipamentos'!B9:B70,0))</f>
        <v>159.31229999999999</v>
      </c>
      <c r="L58" s="929">
        <f t="shared" ref="L58:L64" si="3">ROUND((((($F$18*I58*J58)/$H$18)*K58)+((($F$19*I58*J58)/$H$19)*K58)+((($F$20*I58*J58)/$H$20)*K58))*G58,4)</f>
        <v>138.07069999999999</v>
      </c>
    </row>
    <row r="59" spans="1:12" ht="20.25" customHeight="1" x14ac:dyDescent="0.25">
      <c r="A59" s="921" t="str">
        <f>'[1]Composições - Equipamentos'!A39</f>
        <v>DNIT –</v>
      </c>
      <c r="B59" s="901" t="str">
        <f>'[1]Composições - Equipamentos'!B39</f>
        <v>E9571</v>
      </c>
      <c r="C59" s="922" t="s">
        <v>434</v>
      </c>
      <c r="D59" s="1625" t="str">
        <f>'[1]Composições - Equipamentos'!C39</f>
        <v>Caminhão tanque com capacidade de 10.000 l - 188 kW (Atego 2426 - Mercedes-Benz)</v>
      </c>
      <c r="E59" s="1625"/>
      <c r="F59" s="1625"/>
      <c r="G59" s="925">
        <v>1</v>
      </c>
      <c r="H59" s="963" t="s">
        <v>437</v>
      </c>
      <c r="I59" s="930">
        <v>1</v>
      </c>
      <c r="J59" s="927">
        <v>1</v>
      </c>
      <c r="K59" s="932">
        <f>INDEX('[1]Composições - Equipamentos'!S10:S71,MATCH(B59,'[1]Composições - Equipamentos'!B10:B71,0))</f>
        <v>204.17570000000001</v>
      </c>
      <c r="L59" s="929">
        <f t="shared" si="3"/>
        <v>176.95230000000001</v>
      </c>
    </row>
    <row r="60" spans="1:12" ht="21" customHeight="1" x14ac:dyDescent="0.25">
      <c r="A60" s="921" t="str">
        <f>'[1]Composições - Equipamentos'!A45</f>
        <v>DNIT –</v>
      </c>
      <c r="B60" s="901" t="str">
        <f>'[1]Composições - Equipamentos'!B45</f>
        <v>E9579</v>
      </c>
      <c r="C60" s="922" t="s">
        <v>434</v>
      </c>
      <c r="D60" s="1625" t="str">
        <f>'[1]Composições - Equipamentos'!C45</f>
        <v>Caminhão basculante com capacidade de 10 m³ - 188 kW (Atron 2729  - Mercedes-Benz)</v>
      </c>
      <c r="E60" s="1625"/>
      <c r="F60" s="1625"/>
      <c r="G60" s="925">
        <v>4</v>
      </c>
      <c r="H60" s="963" t="s">
        <v>437</v>
      </c>
      <c r="I60" s="930">
        <v>1</v>
      </c>
      <c r="J60" s="927">
        <v>1</v>
      </c>
      <c r="K60" s="932">
        <f>INDEX('[1]Composições - Equipamentos'!S11:S72,MATCH(B60,'[1]Composições - Equipamentos'!B11:B72,0))</f>
        <v>192.23320000000001</v>
      </c>
      <c r="L60" s="929">
        <f t="shared" si="3"/>
        <v>666.40840000000003</v>
      </c>
    </row>
    <row r="61" spans="1:12" ht="20.25" customHeight="1" x14ac:dyDescent="0.25">
      <c r="A61" s="921" t="str">
        <f>'[1]Composições - Equipamentos'!A57</f>
        <v>DNIT –</v>
      </c>
      <c r="B61" s="901" t="str">
        <f>'[1]Composições - Equipamentos'!B57</f>
        <v>E9667</v>
      </c>
      <c r="C61" s="922" t="s">
        <v>434</v>
      </c>
      <c r="D61" s="923" t="str">
        <f>'[1]Composições - Equipamentos'!C57</f>
        <v>Caminhão basculante com capacidade de 14 m³ - 323 kW</v>
      </c>
      <c r="E61" s="923"/>
      <c r="F61" s="924"/>
      <c r="G61" s="925"/>
      <c r="H61" s="963" t="s">
        <v>437</v>
      </c>
      <c r="I61" s="930"/>
      <c r="J61" s="927">
        <v>1</v>
      </c>
      <c r="K61" s="932">
        <f>INDEX('[1]Composições - Equipamentos'!S12:S73,MATCH(B61,'[1]Composições - Equipamentos'!B12:B73,0))</f>
        <v>265.84550000000002</v>
      </c>
      <c r="L61" s="929">
        <f t="shared" si="3"/>
        <v>0</v>
      </c>
    </row>
    <row r="62" spans="1:12" ht="24" customHeight="1" x14ac:dyDescent="0.25">
      <c r="A62" s="921" t="str">
        <f>'[1]Composições - Equipamentos'!A60</f>
        <v>DNIT –</v>
      </c>
      <c r="B62" s="901" t="str">
        <f>'[1]Composições - Equipamentos'!B60</f>
        <v>E9684</v>
      </c>
      <c r="C62" s="922" t="s">
        <v>434</v>
      </c>
      <c r="D62" s="1625" t="str">
        <f>'[1]Composições - Equipamentos'!C60</f>
        <v>Veículo leve Pick Up 4 x 4 - 147 kW (S10 - Chevrolet 4 x 4 - Cabine Dupla)</v>
      </c>
      <c r="E62" s="1625"/>
      <c r="F62" s="1625"/>
      <c r="G62" s="925">
        <v>1</v>
      </c>
      <c r="H62" s="963" t="s">
        <v>437</v>
      </c>
      <c r="I62" s="930">
        <v>1</v>
      </c>
      <c r="J62" s="927">
        <v>1</v>
      </c>
      <c r="K62" s="932">
        <f>INDEX('[1]Composições - Equipamentos'!S13:S74,MATCH(B62,'[1]Composições - Equipamentos'!B13:B74,0))</f>
        <v>134.80770000000001</v>
      </c>
      <c r="L62" s="929">
        <f t="shared" si="3"/>
        <v>116.83329999999999</v>
      </c>
    </row>
    <row r="63" spans="1:12" ht="26.25" customHeight="1" x14ac:dyDescent="0.25">
      <c r="A63" s="921" t="str">
        <f>'[1]Composições - Equipamentos'!A62</f>
        <v>DNIT –</v>
      </c>
      <c r="B63" s="901" t="str">
        <f>'[1]Composições - Equipamentos'!B62</f>
        <v>E9686</v>
      </c>
      <c r="C63" s="922" t="s">
        <v>434</v>
      </c>
      <c r="D63" s="1625" t="str">
        <f>'[1]Composições - Equipamentos'!C62</f>
        <v>Caminhão carroceria com guindauto com capacidade de 20 t.m - 136 kW</v>
      </c>
      <c r="E63" s="1625"/>
      <c r="F63" s="1625"/>
      <c r="G63" s="925"/>
      <c r="H63" s="963" t="s">
        <v>437</v>
      </c>
      <c r="I63" s="930"/>
      <c r="J63" s="927">
        <v>1</v>
      </c>
      <c r="K63" s="932">
        <f>INDEX('[1]Composições - Equipamentos'!S14:S75,MATCH(B63,'[1]Composições - Equipamentos'!B14:B75,0))</f>
        <v>198.30850000000001</v>
      </c>
      <c r="L63" s="929">
        <f t="shared" si="3"/>
        <v>0</v>
      </c>
    </row>
    <row r="64" spans="1:12" ht="22.5" customHeight="1" x14ac:dyDescent="0.25">
      <c r="A64" s="921" t="str">
        <f>'[1]Composições - Equipamentos'!A66</f>
        <v>DNIT –</v>
      </c>
      <c r="B64" s="901" t="str">
        <f>'[1]Composições - Equipamentos'!B66</f>
        <v>E9687</v>
      </c>
      <c r="C64" s="922" t="s">
        <v>434</v>
      </c>
      <c r="D64" s="1625" t="str">
        <f>'[1]Composições - Equipamentos'!C66</f>
        <v>Caminhão carroceria com capacidade de 5 t - 115 Kw (Accelo 815 - Mercedes-Benz</v>
      </c>
      <c r="E64" s="1625"/>
      <c r="F64" s="1625"/>
      <c r="G64" s="925"/>
      <c r="H64" s="963" t="s">
        <v>437</v>
      </c>
      <c r="I64" s="930"/>
      <c r="J64" s="927">
        <v>1</v>
      </c>
      <c r="K64" s="932">
        <f>INDEX('[1]Composições - Equipamentos'!S15:S76,MATCH(B64,'[1]Composições - Equipamentos'!B15:B76,0))</f>
        <v>135.44540000000001</v>
      </c>
      <c r="L64" s="929">
        <f t="shared" si="3"/>
        <v>0</v>
      </c>
    </row>
    <row r="65" spans="1:19" ht="7.5" customHeight="1" x14ac:dyDescent="0.25">
      <c r="A65" s="940"/>
      <c r="B65" s="941"/>
      <c r="C65" s="942"/>
      <c r="D65" s="943"/>
      <c r="E65" s="943"/>
      <c r="F65" s="943"/>
      <c r="G65" s="964"/>
      <c r="H65" s="944"/>
      <c r="I65" s="944"/>
      <c r="J65" s="946"/>
      <c r="K65" s="947"/>
      <c r="L65" s="948"/>
    </row>
    <row r="66" spans="1:19" x14ac:dyDescent="0.25">
      <c r="A66" s="965"/>
      <c r="B66" s="966"/>
      <c r="C66" s="966"/>
      <c r="D66" s="966"/>
      <c r="E66" s="966"/>
      <c r="F66" s="966"/>
      <c r="G66" s="966"/>
      <c r="H66" s="966"/>
      <c r="I66" s="966"/>
      <c r="J66" s="966"/>
      <c r="K66" s="967" t="s">
        <v>438</v>
      </c>
      <c r="L66" s="968">
        <f>ROUND(L30+L49+L57,4)</f>
        <v>3593.8663999999999</v>
      </c>
    </row>
    <row r="67" spans="1:19" ht="8.25" customHeight="1" x14ac:dyDescent="0.25">
      <c r="A67" s="873"/>
      <c r="B67" s="873"/>
      <c r="C67" s="873"/>
      <c r="D67" s="873"/>
      <c r="E67" s="873"/>
      <c r="F67" s="873"/>
      <c r="G67" s="873"/>
      <c r="H67" s="966"/>
      <c r="I67" s="875"/>
      <c r="J67" s="875"/>
      <c r="K67" s="875"/>
      <c r="L67" s="875"/>
    </row>
    <row r="68" spans="1:19" ht="20.85" customHeight="1" x14ac:dyDescent="0.25">
      <c r="A68" s="1635" t="s">
        <v>439</v>
      </c>
      <c r="B68" s="1635"/>
      <c r="C68" s="1635"/>
      <c r="D68" s="1635"/>
      <c r="E68" s="875"/>
      <c r="F68" s="1630" t="s">
        <v>440</v>
      </c>
      <c r="G68" s="1630"/>
      <c r="H68" s="1630"/>
      <c r="I68" s="1630" t="s">
        <v>441</v>
      </c>
      <c r="J68" s="1630"/>
      <c r="K68" s="1630"/>
      <c r="L68" s="887" t="s">
        <v>442</v>
      </c>
      <c r="N68">
        <v>0.4</v>
      </c>
    </row>
    <row r="69" spans="1:19" x14ac:dyDescent="0.25">
      <c r="A69" s="969"/>
      <c r="B69" s="970" t="s">
        <v>443</v>
      </c>
      <c r="C69" s="971"/>
      <c r="D69" s="972"/>
      <c r="E69" s="972"/>
      <c r="F69" s="973"/>
      <c r="G69" s="973"/>
      <c r="H69" s="971"/>
      <c r="I69" s="974"/>
      <c r="J69" s="974"/>
      <c r="K69" s="975"/>
      <c r="L69" s="976">
        <f>ROUND(SUM(L70:L74),4)</f>
        <v>57.194400000000002</v>
      </c>
    </row>
    <row r="70" spans="1:19" x14ac:dyDescent="0.25">
      <c r="A70" s="977" t="str">
        <f>'[1]Atualização de custos unitarios'!A105</f>
        <v>DNIT –</v>
      </c>
      <c r="B70" s="978" t="str">
        <f>'[1]Atualização de custos unitarios'!B105</f>
        <v>NS - P1</v>
      </c>
      <c r="C70" s="979" t="s">
        <v>434</v>
      </c>
      <c r="D70" s="980" t="str">
        <f>'[1]Atualização de custos unitarios'!C105</f>
        <v>Engenheiro / Profissional Sênior</v>
      </c>
      <c r="E70" s="980"/>
      <c r="F70" s="981">
        <v>1</v>
      </c>
      <c r="G70" s="982">
        <v>62.532000000000004</v>
      </c>
      <c r="H70" s="982">
        <f t="shared" ref="H70:H73" si="4">ROUND((($F$18/$H$18+$F$19/$H$19+$F$20/$H$20))*G70,4)</f>
        <v>54.194400000000002</v>
      </c>
      <c r="I70" s="983">
        <v>1</v>
      </c>
      <c r="J70" s="983">
        <v>1</v>
      </c>
      <c r="K70" s="983">
        <v>1</v>
      </c>
      <c r="L70" s="929">
        <f t="shared" ref="L70:L73" si="5">ROUND(SUM(H70:K70)*F70,4)</f>
        <v>57.194400000000002</v>
      </c>
      <c r="N70">
        <v>62.932000000000002</v>
      </c>
      <c r="O70">
        <f>N70-$N$68</f>
        <v>62.532000000000004</v>
      </c>
      <c r="Q70">
        <v>5</v>
      </c>
      <c r="R70">
        <v>30</v>
      </c>
      <c r="S70">
        <f>N70*Q70*R70</f>
        <v>9439.8000000000011</v>
      </c>
    </row>
    <row r="71" spans="1:19" x14ac:dyDescent="0.25">
      <c r="A71" s="984" t="str">
        <f>'[1]Atualização de custos unitarios'!A106</f>
        <v>DNIT –</v>
      </c>
      <c r="B71" s="901" t="str">
        <f>'[1]Atualização de custos unitarios'!B106</f>
        <v>NS - P2</v>
      </c>
      <c r="C71" s="922" t="s">
        <v>434</v>
      </c>
      <c r="D71" s="885" t="str">
        <f>'[1]Atualização de custos unitarios'!C106</f>
        <v>Engenheiro / Profissional Pleno</v>
      </c>
      <c r="E71" s="885"/>
      <c r="F71" s="981"/>
      <c r="G71" s="985">
        <v>48.833300000000001</v>
      </c>
      <c r="H71" s="985">
        <f t="shared" si="4"/>
        <v>42.322200000000002</v>
      </c>
      <c r="I71" s="983"/>
      <c r="J71" s="983"/>
      <c r="K71" s="983"/>
      <c r="L71" s="929">
        <f t="shared" si="5"/>
        <v>0</v>
      </c>
      <c r="N71">
        <v>49.2333</v>
      </c>
      <c r="O71">
        <f t="shared" ref="O71:O103" si="6">N71-$N$68</f>
        <v>48.833300000000001</v>
      </c>
    </row>
    <row r="72" spans="1:19" x14ac:dyDescent="0.25">
      <c r="A72" s="986"/>
      <c r="B72" s="934"/>
      <c r="C72" s="935"/>
      <c r="D72" s="987"/>
      <c r="E72" s="987"/>
      <c r="F72" s="981"/>
      <c r="G72" s="983"/>
      <c r="H72" s="985">
        <f t="shared" si="4"/>
        <v>0</v>
      </c>
      <c r="I72" s="983"/>
      <c r="J72" s="983"/>
      <c r="K72" s="983"/>
      <c r="L72" s="939">
        <f t="shared" si="5"/>
        <v>0</v>
      </c>
      <c r="O72">
        <f t="shared" si="6"/>
        <v>-0.4</v>
      </c>
    </row>
    <row r="73" spans="1:19" x14ac:dyDescent="0.25">
      <c r="A73" s="986"/>
      <c r="B73" s="934"/>
      <c r="C73" s="935"/>
      <c r="D73" s="987"/>
      <c r="E73" s="987"/>
      <c r="F73" s="981"/>
      <c r="G73" s="983"/>
      <c r="H73" s="985">
        <f t="shared" si="4"/>
        <v>0</v>
      </c>
      <c r="I73" s="983"/>
      <c r="J73" s="983"/>
      <c r="K73" s="983"/>
      <c r="L73" s="939">
        <f t="shared" si="5"/>
        <v>0</v>
      </c>
      <c r="O73">
        <f t="shared" si="6"/>
        <v>-0.4</v>
      </c>
    </row>
    <row r="74" spans="1:19" ht="8.25" customHeight="1" x14ac:dyDescent="0.25">
      <c r="A74" s="940"/>
      <c r="B74" s="941"/>
      <c r="C74" s="942"/>
      <c r="D74" s="943"/>
      <c r="E74" s="943"/>
      <c r="F74" s="943"/>
      <c r="G74" s="964"/>
      <c r="H74" s="944"/>
      <c r="I74" s="944"/>
      <c r="J74" s="946"/>
      <c r="K74" s="947"/>
      <c r="L74" s="948"/>
      <c r="O74">
        <f t="shared" si="6"/>
        <v>-0.4</v>
      </c>
    </row>
    <row r="75" spans="1:19" x14ac:dyDescent="0.25">
      <c r="A75" s="969"/>
      <c r="B75" s="970" t="s">
        <v>444</v>
      </c>
      <c r="C75" s="971"/>
      <c r="D75" s="972"/>
      <c r="E75" s="972"/>
      <c r="F75" s="973"/>
      <c r="G75" s="988"/>
      <c r="H75" s="988"/>
      <c r="I75" s="988"/>
      <c r="J75" s="988"/>
      <c r="K75" s="989"/>
      <c r="L75" s="911">
        <f>ROUND(SUM(L76:L81),4)</f>
        <v>26.121600000000001</v>
      </c>
      <c r="O75">
        <f t="shared" si="6"/>
        <v>-0.4</v>
      </c>
    </row>
    <row r="76" spans="1:19" ht="24.75" customHeight="1" x14ac:dyDescent="0.25">
      <c r="A76" s="984" t="str">
        <f>'[1]Atualização de custos unitarios'!A108</f>
        <v>DNIT –</v>
      </c>
      <c r="B76" s="901" t="str">
        <f>'[1]Atualização de custos unitarios'!B108</f>
        <v>NT - T2</v>
      </c>
      <c r="C76" s="922" t="s">
        <v>434</v>
      </c>
      <c r="D76" s="1636" t="str">
        <f>'[1]Atualização de custos unitarios'!C108</f>
        <v>Técnico Pleno (Topógrafo / Desenhista Projetista)</v>
      </c>
      <c r="E76" s="1636"/>
      <c r="F76" s="981">
        <v>1</v>
      </c>
      <c r="G76" s="985">
        <v>16.057000000000002</v>
      </c>
      <c r="H76" s="985">
        <f>ROUND((($F$18/$H$18+$F$19/$H$19+$F$20/$H$20))*G76,4)</f>
        <v>13.9161</v>
      </c>
      <c r="I76" s="983">
        <v>1</v>
      </c>
      <c r="J76" s="983">
        <v>1</v>
      </c>
      <c r="K76" s="983"/>
      <c r="L76" s="929">
        <f t="shared" ref="L76:L80" si="7">ROUND(SUM(H76:K76)*F76,4)</f>
        <v>15.9161</v>
      </c>
      <c r="N76">
        <v>16.457000000000001</v>
      </c>
      <c r="O76">
        <f t="shared" si="6"/>
        <v>16.057000000000002</v>
      </c>
    </row>
    <row r="77" spans="1:19" x14ac:dyDescent="0.25">
      <c r="A77" s="984" t="str">
        <f>'[1]Atualização de custos unitarios'!A109</f>
        <v>DNIT –</v>
      </c>
      <c r="B77" s="901" t="str">
        <f>'[1]Atualização de custos unitarios'!B109</f>
        <v>NT - T4</v>
      </c>
      <c r="C77" s="922" t="s">
        <v>434</v>
      </c>
      <c r="D77" s="885" t="str">
        <f>'[1]Atualização de custos unitarios'!C109</f>
        <v>Técnico Auxiliar</v>
      </c>
      <c r="E77" s="885"/>
      <c r="F77" s="981">
        <v>1</v>
      </c>
      <c r="G77" s="985">
        <v>9.4679000000000002</v>
      </c>
      <c r="H77" s="985">
        <f t="shared" ref="H76:H80" si="8">ROUND((($F$18/$H$18+$F$19/$H$19+$F$20/$H$20))*G77,4)</f>
        <v>8.2055000000000007</v>
      </c>
      <c r="I77" s="983">
        <v>1</v>
      </c>
      <c r="J77" s="983">
        <v>1</v>
      </c>
      <c r="K77" s="983"/>
      <c r="L77" s="929">
        <f t="shared" si="7"/>
        <v>10.205500000000001</v>
      </c>
      <c r="N77">
        <v>9.8679000000000006</v>
      </c>
      <c r="O77">
        <f t="shared" si="6"/>
        <v>9.4679000000000002</v>
      </c>
    </row>
    <row r="78" spans="1:19" x14ac:dyDescent="0.25">
      <c r="A78" s="986"/>
      <c r="B78" s="934"/>
      <c r="C78" s="935"/>
      <c r="D78" s="987"/>
      <c r="E78" s="987"/>
      <c r="F78" s="981"/>
      <c r="G78" s="983"/>
      <c r="H78" s="985">
        <f t="shared" si="8"/>
        <v>0</v>
      </c>
      <c r="I78" s="983"/>
      <c r="J78" s="983"/>
      <c r="K78" s="983"/>
      <c r="L78" s="939">
        <f t="shared" si="7"/>
        <v>0</v>
      </c>
      <c r="O78">
        <f t="shared" si="6"/>
        <v>-0.4</v>
      </c>
    </row>
    <row r="79" spans="1:19" x14ac:dyDescent="0.25">
      <c r="A79" s="986"/>
      <c r="B79" s="934"/>
      <c r="C79" s="935"/>
      <c r="D79" s="987"/>
      <c r="E79" s="987"/>
      <c r="F79" s="981"/>
      <c r="G79" s="983"/>
      <c r="H79" s="985">
        <f t="shared" si="8"/>
        <v>0</v>
      </c>
      <c r="I79" s="983"/>
      <c r="J79" s="983"/>
      <c r="K79" s="983"/>
      <c r="L79" s="939">
        <f t="shared" si="7"/>
        <v>0</v>
      </c>
      <c r="O79">
        <f t="shared" si="6"/>
        <v>-0.4</v>
      </c>
    </row>
    <row r="80" spans="1:19" x14ac:dyDescent="0.25">
      <c r="A80" s="986"/>
      <c r="B80" s="934"/>
      <c r="C80" s="935"/>
      <c r="D80" s="987"/>
      <c r="E80" s="987"/>
      <c r="F80" s="981"/>
      <c r="G80" s="983"/>
      <c r="H80" s="985">
        <f t="shared" si="8"/>
        <v>0</v>
      </c>
      <c r="I80" s="983"/>
      <c r="J80" s="983"/>
      <c r="K80" s="983"/>
      <c r="L80" s="939">
        <f t="shared" si="7"/>
        <v>0</v>
      </c>
      <c r="O80">
        <f t="shared" si="6"/>
        <v>-0.4</v>
      </c>
    </row>
    <row r="81" spans="1:15" ht="8.25" customHeight="1" x14ac:dyDescent="0.25">
      <c r="A81" s="940"/>
      <c r="B81" s="941"/>
      <c r="C81" s="942"/>
      <c r="D81" s="943"/>
      <c r="E81" s="943"/>
      <c r="F81" s="943"/>
      <c r="G81" s="964"/>
      <c r="H81" s="944"/>
      <c r="I81" s="944"/>
      <c r="J81" s="946"/>
      <c r="K81" s="947"/>
      <c r="L81" s="948"/>
      <c r="O81">
        <f t="shared" si="6"/>
        <v>-0.4</v>
      </c>
    </row>
    <row r="82" spans="1:15" x14ac:dyDescent="0.25">
      <c r="A82" s="969"/>
      <c r="B82" s="970" t="s">
        <v>445</v>
      </c>
      <c r="C82" s="971"/>
      <c r="D82" s="972"/>
      <c r="E82" s="972"/>
      <c r="F82" s="973"/>
      <c r="G82" s="988"/>
      <c r="H82" s="988"/>
      <c r="I82" s="988"/>
      <c r="J82" s="988"/>
      <c r="K82" s="989"/>
      <c r="L82" s="911">
        <f>ROUND(SUM(L83:L90),4)</f>
        <v>276.84800000000001</v>
      </c>
      <c r="O82">
        <f t="shared" si="6"/>
        <v>-0.4</v>
      </c>
    </row>
    <row r="83" spans="1:15" x14ac:dyDescent="0.25">
      <c r="A83" s="984" t="str">
        <f>'[1]Atualização de custos unitarios'!A87</f>
        <v>DNIT –</v>
      </c>
      <c r="B83" s="901" t="str">
        <f>'[1]Atualização de custos unitarios'!B87</f>
        <v>P9843</v>
      </c>
      <c r="C83" s="922" t="s">
        <v>434</v>
      </c>
      <c r="D83" s="885" t="str">
        <f>'[1]Atualização de custos unitarios'!C87</f>
        <v>Operador de equipamento leve</v>
      </c>
      <c r="E83" s="885"/>
      <c r="F83" s="981">
        <v>1</v>
      </c>
      <c r="G83" s="985">
        <v>19.503300000000003</v>
      </c>
      <c r="H83" s="985">
        <f t="shared" ref="H83:H89" si="9">ROUND((($F$18/$H$18+$F$19/$H$19+$F$20/$H$20))*G83,4)</f>
        <v>16.902899999999999</v>
      </c>
      <c r="I83" s="983">
        <v>1</v>
      </c>
      <c r="J83" s="983">
        <v>1</v>
      </c>
      <c r="K83" s="983"/>
      <c r="L83" s="929">
        <f t="shared" ref="L83:L89" si="10">ROUND(SUM(H83:K83)*F83,4)</f>
        <v>18.902899999999999</v>
      </c>
      <c r="N83">
        <v>19.903300000000002</v>
      </c>
      <c r="O83">
        <f t="shared" si="6"/>
        <v>19.503300000000003</v>
      </c>
    </row>
    <row r="84" spans="1:15" x14ac:dyDescent="0.25">
      <c r="A84" s="984" t="str">
        <f>'[1]Atualização de custos unitarios'!A88</f>
        <v>DNIT –</v>
      </c>
      <c r="B84" s="901" t="str">
        <f>'[1]Atualização de custos unitarios'!B88</f>
        <v>P9845</v>
      </c>
      <c r="C84" s="922" t="s">
        <v>434</v>
      </c>
      <c r="D84" s="885" t="str">
        <f>'[1]Atualização de custos unitarios'!C88</f>
        <v>Operador de equipamento pesado</v>
      </c>
      <c r="E84" s="885"/>
      <c r="F84" s="981">
        <v>7</v>
      </c>
      <c r="G84" s="985">
        <v>26.364600000000003</v>
      </c>
      <c r="H84" s="985">
        <f t="shared" si="9"/>
        <v>22.849299999999999</v>
      </c>
      <c r="I84" s="983">
        <v>7</v>
      </c>
      <c r="J84" s="983">
        <v>7</v>
      </c>
      <c r="K84" s="983"/>
      <c r="L84" s="929">
        <f t="shared" si="10"/>
        <v>257.94510000000002</v>
      </c>
      <c r="N84">
        <v>26.764600000000002</v>
      </c>
      <c r="O84">
        <f t="shared" si="6"/>
        <v>26.364600000000003</v>
      </c>
    </row>
    <row r="85" spans="1:15" x14ac:dyDescent="0.25">
      <c r="A85" s="984" t="str">
        <f>'[1]Atualização de custos unitarios'!A89</f>
        <v>DNIT –</v>
      </c>
      <c r="B85" s="901" t="str">
        <f>'[1]Atualização de custos unitarios'!B89</f>
        <v>P9846</v>
      </c>
      <c r="C85" s="922" t="s">
        <v>434</v>
      </c>
      <c r="D85" s="885" t="str">
        <f>'[1]Atualização de custos unitarios'!C89</f>
        <v xml:space="preserve">Operador de equipamento especial </v>
      </c>
      <c r="E85" s="885"/>
      <c r="F85" s="981"/>
      <c r="G85" s="985">
        <v>36.3626</v>
      </c>
      <c r="H85" s="985">
        <f t="shared" si="9"/>
        <v>31.514299999999999</v>
      </c>
      <c r="I85" s="983"/>
      <c r="J85" s="983"/>
      <c r="K85" s="983"/>
      <c r="L85" s="929">
        <f t="shared" si="10"/>
        <v>0</v>
      </c>
      <c r="N85">
        <v>36.762599999999999</v>
      </c>
      <c r="O85">
        <f t="shared" si="6"/>
        <v>36.3626</v>
      </c>
    </row>
    <row r="86" spans="1:15" x14ac:dyDescent="0.25">
      <c r="A86" s="986"/>
      <c r="B86" s="934"/>
      <c r="C86" s="935"/>
      <c r="D86" s="987"/>
      <c r="E86" s="987"/>
      <c r="F86" s="981"/>
      <c r="G86" s="983"/>
      <c r="H86" s="985">
        <f t="shared" si="9"/>
        <v>0</v>
      </c>
      <c r="I86" s="983"/>
      <c r="J86" s="983"/>
      <c r="K86" s="983"/>
      <c r="L86" s="939">
        <f t="shared" si="10"/>
        <v>0</v>
      </c>
      <c r="O86">
        <f t="shared" si="6"/>
        <v>-0.4</v>
      </c>
    </row>
    <row r="87" spans="1:15" x14ac:dyDescent="0.25">
      <c r="A87" s="986"/>
      <c r="B87" s="934"/>
      <c r="C87" s="935"/>
      <c r="D87" s="987"/>
      <c r="E87" s="987"/>
      <c r="F87" s="981"/>
      <c r="G87" s="983"/>
      <c r="H87" s="985">
        <f t="shared" si="9"/>
        <v>0</v>
      </c>
      <c r="I87" s="983"/>
      <c r="J87" s="983"/>
      <c r="K87" s="983"/>
      <c r="L87" s="939">
        <f t="shared" si="10"/>
        <v>0</v>
      </c>
      <c r="O87">
        <f t="shared" si="6"/>
        <v>-0.4</v>
      </c>
    </row>
    <row r="88" spans="1:15" x14ac:dyDescent="0.25">
      <c r="A88" s="986"/>
      <c r="B88" s="934"/>
      <c r="C88" s="935"/>
      <c r="D88" s="987"/>
      <c r="E88" s="987"/>
      <c r="F88" s="981"/>
      <c r="G88" s="983"/>
      <c r="H88" s="985">
        <f t="shared" si="9"/>
        <v>0</v>
      </c>
      <c r="I88" s="983"/>
      <c r="J88" s="983"/>
      <c r="K88" s="983"/>
      <c r="L88" s="939">
        <f t="shared" si="10"/>
        <v>0</v>
      </c>
      <c r="O88">
        <f t="shared" si="6"/>
        <v>-0.4</v>
      </c>
    </row>
    <row r="89" spans="1:15" x14ac:dyDescent="0.25">
      <c r="A89" s="986"/>
      <c r="B89" s="934"/>
      <c r="C89" s="935"/>
      <c r="D89" s="987"/>
      <c r="E89" s="987"/>
      <c r="F89" s="981"/>
      <c r="G89" s="983"/>
      <c r="H89" s="985">
        <f t="shared" si="9"/>
        <v>0</v>
      </c>
      <c r="I89" s="983"/>
      <c r="J89" s="983"/>
      <c r="K89" s="983"/>
      <c r="L89" s="939">
        <f t="shared" si="10"/>
        <v>0</v>
      </c>
      <c r="O89">
        <f t="shared" si="6"/>
        <v>-0.4</v>
      </c>
    </row>
    <row r="90" spans="1:15" ht="8.25" customHeight="1" x14ac:dyDescent="0.25">
      <c r="A90" s="940"/>
      <c r="B90" s="941"/>
      <c r="C90" s="942"/>
      <c r="D90" s="943"/>
      <c r="E90" s="943"/>
      <c r="F90" s="943"/>
      <c r="G90" s="964"/>
      <c r="H90" s="944"/>
      <c r="I90" s="944"/>
      <c r="J90" s="946"/>
      <c r="K90" s="947"/>
      <c r="L90" s="948"/>
      <c r="O90">
        <f t="shared" si="6"/>
        <v>-0.4</v>
      </c>
    </row>
    <row r="91" spans="1:15" x14ac:dyDescent="0.25">
      <c r="A91" s="969"/>
      <c r="B91" s="970" t="s">
        <v>446</v>
      </c>
      <c r="C91" s="971"/>
      <c r="D91" s="972"/>
      <c r="E91" s="972"/>
      <c r="F91" s="973"/>
      <c r="G91" s="988"/>
      <c r="H91" s="988"/>
      <c r="I91" s="988"/>
      <c r="J91" s="988"/>
      <c r="K91" s="989"/>
      <c r="L91" s="911">
        <f>ROUND(SUM(L92:L107),4)</f>
        <v>282.19880000000001</v>
      </c>
      <c r="O91">
        <f t="shared" si="6"/>
        <v>-0.4</v>
      </c>
    </row>
    <row r="92" spans="1:15" x14ac:dyDescent="0.25">
      <c r="A92" s="984" t="str">
        <f>'[1]Atualização de custos unitarios'!A74</f>
        <v>DNIT –</v>
      </c>
      <c r="B92" s="901" t="str">
        <f>'[1]Atualização de custos unitarios'!B74</f>
        <v>P9801</v>
      </c>
      <c r="C92" s="922" t="s">
        <v>434</v>
      </c>
      <c r="D92" s="885" t="str">
        <f>'[1]Atualização de custos unitarios'!C74</f>
        <v>Ajudante</v>
      </c>
      <c r="E92" s="885"/>
      <c r="F92" s="981">
        <v>7</v>
      </c>
      <c r="G92" s="985">
        <v>15.729999999999999</v>
      </c>
      <c r="H92" s="985">
        <f t="shared" ref="H92:H106" si="11">ROUND((($F$18/$H$18+$F$19/$H$19+$F$20/$H$20))*G92,4)</f>
        <v>13.6327</v>
      </c>
      <c r="I92" s="983">
        <v>7</v>
      </c>
      <c r="J92" s="983">
        <v>7</v>
      </c>
      <c r="K92" s="983"/>
      <c r="L92" s="929">
        <f t="shared" ref="L92:L106" si="12">ROUND(SUM(H92:K92)*F92,4)</f>
        <v>193.4289</v>
      </c>
      <c r="N92">
        <v>16.13</v>
      </c>
      <c r="O92">
        <f t="shared" si="6"/>
        <v>15.729999999999999</v>
      </c>
    </row>
    <row r="93" spans="1:15" x14ac:dyDescent="0.25">
      <c r="A93" s="984" t="str">
        <f>'[1]Atualização de custos unitarios'!A76</f>
        <v>DNIT –</v>
      </c>
      <c r="B93" s="901" t="str">
        <f>'[1]Atualização de custos unitarios'!B76</f>
        <v>P9804</v>
      </c>
      <c r="C93" s="922" t="s">
        <v>434</v>
      </c>
      <c r="D93" s="885" t="str">
        <f>'[1]Atualização de custos unitarios'!C76</f>
        <v>Apontador</v>
      </c>
      <c r="E93" s="885"/>
      <c r="F93" s="981">
        <v>1</v>
      </c>
      <c r="G93" s="985">
        <v>15.7704</v>
      </c>
      <c r="H93" s="985">
        <f t="shared" si="11"/>
        <v>13.6677</v>
      </c>
      <c r="I93" s="983">
        <v>1</v>
      </c>
      <c r="J93" s="983">
        <v>1</v>
      </c>
      <c r="K93" s="983"/>
      <c r="L93" s="929">
        <f t="shared" si="12"/>
        <v>15.6677</v>
      </c>
      <c r="N93">
        <v>16.170400000000001</v>
      </c>
      <c r="O93">
        <f t="shared" si="6"/>
        <v>15.7704</v>
      </c>
    </row>
    <row r="94" spans="1:15" x14ac:dyDescent="0.25">
      <c r="A94" s="984" t="str">
        <f>'[1]Atualização de custos unitarios'!A77</f>
        <v>DNIT –</v>
      </c>
      <c r="B94" s="901" t="str">
        <f>'[1]Atualização de custos unitarios'!B77</f>
        <v>P9805</v>
      </c>
      <c r="C94" s="922" t="s">
        <v>434</v>
      </c>
      <c r="D94" s="885" t="str">
        <f>'[1]Atualização de custos unitarios'!C77</f>
        <v>Armador</v>
      </c>
      <c r="E94" s="885"/>
      <c r="F94" s="981"/>
      <c r="G94" s="985">
        <v>19.675600000000003</v>
      </c>
      <c r="H94" s="985">
        <f t="shared" si="11"/>
        <v>17.052199999999999</v>
      </c>
      <c r="I94" s="983"/>
      <c r="J94" s="983"/>
      <c r="K94" s="983"/>
      <c r="L94" s="929">
        <f t="shared" si="12"/>
        <v>0</v>
      </c>
      <c r="N94">
        <v>20.075600000000001</v>
      </c>
      <c r="O94">
        <f t="shared" si="6"/>
        <v>19.675600000000003</v>
      </c>
    </row>
    <row r="95" spans="1:15" x14ac:dyDescent="0.25">
      <c r="A95" s="984" t="str">
        <f>'[1]Atualização de custos unitarios'!A78</f>
        <v>DNIT –</v>
      </c>
      <c r="B95" s="901" t="str">
        <f>'[1]Atualização de custos unitarios'!B78</f>
        <v>P9806</v>
      </c>
      <c r="C95" s="922" t="s">
        <v>434</v>
      </c>
      <c r="D95" s="885" t="str">
        <f>CONCATENATE('[1]Atualização de custos unitarios'!C78," - (Almoxarife)")</f>
        <v>Auxiliar administrativo - (Almoxarife)</v>
      </c>
      <c r="E95" s="885"/>
      <c r="F95" s="981">
        <v>1</v>
      </c>
      <c r="G95" s="985">
        <v>16.328200000000002</v>
      </c>
      <c r="H95" s="985">
        <f t="shared" si="11"/>
        <v>14.1511</v>
      </c>
      <c r="I95" s="983">
        <v>1</v>
      </c>
      <c r="J95" s="983">
        <v>1</v>
      </c>
      <c r="K95" s="983"/>
      <c r="L95" s="929">
        <f t="shared" si="12"/>
        <v>16.1511</v>
      </c>
      <c r="N95">
        <v>16.728200000000001</v>
      </c>
      <c r="O95">
        <f t="shared" si="6"/>
        <v>16.328200000000002</v>
      </c>
    </row>
    <row r="96" spans="1:15" x14ac:dyDescent="0.25">
      <c r="A96" s="984" t="str">
        <f>'[1]Atualização de custos unitarios'!A79</f>
        <v>DNIT –</v>
      </c>
      <c r="B96" s="901" t="str">
        <f>'[1]Atualização de custos unitarios'!B79</f>
        <v>P9808</v>
      </c>
      <c r="C96" s="922" t="s">
        <v>434</v>
      </c>
      <c r="D96" s="885" t="str">
        <f>'[1]Atualização de custos unitarios'!C79</f>
        <v>Carpinteiro</v>
      </c>
      <c r="E96" s="885"/>
      <c r="F96" s="981"/>
      <c r="G96" s="985">
        <v>19.7652</v>
      </c>
      <c r="H96" s="985">
        <f t="shared" si="11"/>
        <v>17.129799999999999</v>
      </c>
      <c r="I96" s="983"/>
      <c r="J96" s="983"/>
      <c r="K96" s="983"/>
      <c r="L96" s="929">
        <f t="shared" si="12"/>
        <v>0</v>
      </c>
      <c r="N96">
        <v>20.165199999999999</v>
      </c>
      <c r="O96">
        <f t="shared" si="6"/>
        <v>19.7652</v>
      </c>
    </row>
    <row r="97" spans="1:15" x14ac:dyDescent="0.25">
      <c r="A97" s="984" t="str">
        <f>'[1]Atualização de custos unitarios'!A81</f>
        <v>DNIT –</v>
      </c>
      <c r="B97" s="901" t="str">
        <f>'[1]Atualização de custos unitarios'!B81</f>
        <v>P9821</v>
      </c>
      <c r="C97" s="922" t="s">
        <v>434</v>
      </c>
      <c r="D97" s="885" t="str">
        <f>'[1]Atualização de custos unitarios'!C81</f>
        <v>Pedreiro</v>
      </c>
      <c r="E97" s="885"/>
      <c r="F97" s="981"/>
      <c r="G97" s="985">
        <v>19.101600000000001</v>
      </c>
      <c r="H97" s="985">
        <f t="shared" si="11"/>
        <v>16.5547</v>
      </c>
      <c r="I97" s="983"/>
      <c r="J97" s="983"/>
      <c r="K97" s="983"/>
      <c r="L97" s="929">
        <f t="shared" si="12"/>
        <v>0</v>
      </c>
      <c r="N97">
        <v>19.5016</v>
      </c>
      <c r="O97">
        <f t="shared" si="6"/>
        <v>19.101600000000001</v>
      </c>
    </row>
    <row r="98" spans="1:15" x14ac:dyDescent="0.25">
      <c r="A98" s="984" t="str">
        <f>'[1]Atualização de custos unitarios'!A82</f>
        <v>DNIT –</v>
      </c>
      <c r="B98" s="901" t="str">
        <f>'[1]Atualização de custos unitarios'!B82</f>
        <v>P9822</v>
      </c>
      <c r="C98" s="922" t="s">
        <v>434</v>
      </c>
      <c r="D98" s="885" t="str">
        <f>'[1]Atualização de custos unitarios'!C82</f>
        <v>Pintor</v>
      </c>
      <c r="E98" s="885"/>
      <c r="F98" s="981"/>
      <c r="G98" s="985">
        <v>18.9724</v>
      </c>
      <c r="H98" s="985">
        <f t="shared" si="11"/>
        <v>16.442699999999999</v>
      </c>
      <c r="I98" s="983"/>
      <c r="J98" s="983"/>
      <c r="K98" s="983"/>
      <c r="L98" s="929">
        <f t="shared" si="12"/>
        <v>0</v>
      </c>
      <c r="N98">
        <v>19.372399999999999</v>
      </c>
      <c r="O98">
        <f t="shared" si="6"/>
        <v>18.9724</v>
      </c>
    </row>
    <row r="99" spans="1:15" x14ac:dyDescent="0.25">
      <c r="A99" s="984" t="str">
        <f>'[1]Atualização de custos unitarios'!A83</f>
        <v>DNIT –</v>
      </c>
      <c r="B99" s="901" t="str">
        <f>'[1]Atualização de custos unitarios'!B83</f>
        <v>P9823</v>
      </c>
      <c r="C99" s="922" t="s">
        <v>434</v>
      </c>
      <c r="D99" s="885" t="str">
        <f>'[1]Atualização de custos unitarios'!C83</f>
        <v>Serralheiro</v>
      </c>
      <c r="E99" s="885"/>
      <c r="F99" s="981"/>
      <c r="G99" s="985">
        <v>19.2805</v>
      </c>
      <c r="H99" s="985">
        <f t="shared" si="11"/>
        <v>16.709800000000001</v>
      </c>
      <c r="I99" s="983"/>
      <c r="J99" s="983"/>
      <c r="K99" s="983"/>
      <c r="L99" s="929">
        <f t="shared" si="12"/>
        <v>0</v>
      </c>
      <c r="N99">
        <v>19.680499999999999</v>
      </c>
      <c r="O99">
        <f t="shared" si="6"/>
        <v>19.2805</v>
      </c>
    </row>
    <row r="100" spans="1:15" x14ac:dyDescent="0.25">
      <c r="A100" s="984" t="str">
        <f>'[1]Atualização de custos unitarios'!A84</f>
        <v>DNIT –</v>
      </c>
      <c r="B100" s="901" t="str">
        <f>'[1]Atualização de custos unitarios'!B84</f>
        <v>P9824</v>
      </c>
      <c r="C100" s="922" t="s">
        <v>434</v>
      </c>
      <c r="D100" s="885" t="str">
        <f>'[1]Atualização de custos unitarios'!C84</f>
        <v>Servente</v>
      </c>
      <c r="E100" s="885"/>
      <c r="F100" s="981">
        <v>3</v>
      </c>
      <c r="G100" s="985">
        <v>14.981199999999999</v>
      </c>
      <c r="H100" s="985">
        <f t="shared" si="11"/>
        <v>12.983700000000001</v>
      </c>
      <c r="I100" s="983">
        <v>3</v>
      </c>
      <c r="J100" s="983">
        <v>3</v>
      </c>
      <c r="K100" s="983"/>
      <c r="L100" s="929">
        <f t="shared" si="12"/>
        <v>56.951099999999997</v>
      </c>
      <c r="N100">
        <v>15.3812</v>
      </c>
      <c r="O100">
        <f t="shared" si="6"/>
        <v>14.981199999999999</v>
      </c>
    </row>
    <row r="101" spans="1:15" x14ac:dyDescent="0.25">
      <c r="A101" s="984" t="str">
        <f>'[1]Atualização de custos unitarios'!A85</f>
        <v>DNIT –</v>
      </c>
      <c r="B101" s="901" t="str">
        <f>'[1]Atualização de custos unitarios'!B85</f>
        <v>P9825</v>
      </c>
      <c r="C101" s="922" t="s">
        <v>434</v>
      </c>
      <c r="D101" s="885" t="str">
        <f>'[1]Atualização de custos unitarios'!C85</f>
        <v>Soldador</v>
      </c>
      <c r="E101" s="885"/>
      <c r="F101" s="981"/>
      <c r="G101" s="985">
        <v>14.981199999999999</v>
      </c>
      <c r="H101" s="985">
        <f t="shared" si="11"/>
        <v>12.983700000000001</v>
      </c>
      <c r="I101" s="983"/>
      <c r="J101" s="983"/>
      <c r="K101" s="983"/>
      <c r="L101" s="929">
        <f t="shared" si="12"/>
        <v>0</v>
      </c>
      <c r="N101">
        <v>15.3812</v>
      </c>
      <c r="O101">
        <f t="shared" si="6"/>
        <v>14.981199999999999</v>
      </c>
    </row>
    <row r="102" spans="1:15" x14ac:dyDescent="0.25">
      <c r="A102" s="984" t="str">
        <f>'[1]Atualização de custos unitarios'!A86</f>
        <v>DNIT –</v>
      </c>
      <c r="B102" s="901" t="str">
        <f>'[1]Atualização de custos unitarios'!B86</f>
        <v>P9830</v>
      </c>
      <c r="C102" s="922" t="s">
        <v>434</v>
      </c>
      <c r="D102" s="885" t="str">
        <f>'[1]Atualização de custos unitarios'!C86</f>
        <v>Montador</v>
      </c>
      <c r="E102" s="885"/>
      <c r="F102" s="981"/>
      <c r="G102" s="985">
        <v>21.6281</v>
      </c>
      <c r="H102" s="985">
        <f t="shared" si="11"/>
        <v>18.744399999999999</v>
      </c>
      <c r="I102" s="983"/>
      <c r="J102" s="983"/>
      <c r="K102" s="983"/>
      <c r="L102" s="929">
        <f t="shared" si="12"/>
        <v>0</v>
      </c>
      <c r="N102">
        <v>22.028099999999998</v>
      </c>
      <c r="O102">
        <f t="shared" si="6"/>
        <v>21.6281</v>
      </c>
    </row>
    <row r="103" spans="1:15" x14ac:dyDescent="0.25">
      <c r="A103" s="984" t="str">
        <f>'[1]Atualização de custos unitarios'!A90</f>
        <v>DNIT –</v>
      </c>
      <c r="B103" s="901" t="str">
        <f>'[1]Atualização de custos unitarios'!B90</f>
        <v>P9852</v>
      </c>
      <c r="C103" s="922" t="s">
        <v>434</v>
      </c>
      <c r="D103" s="885" t="str">
        <f>'[1]Atualização de custos unitarios'!C90</f>
        <v>Blaster</v>
      </c>
      <c r="E103" s="885"/>
      <c r="F103" s="981"/>
      <c r="G103" s="985">
        <v>28.511600000000001</v>
      </c>
      <c r="H103" s="985">
        <f t="shared" si="11"/>
        <v>24.710100000000001</v>
      </c>
      <c r="I103" s="983"/>
      <c r="J103" s="983"/>
      <c r="K103" s="983"/>
      <c r="L103" s="929">
        <f t="shared" si="12"/>
        <v>0</v>
      </c>
      <c r="N103">
        <v>28.9116</v>
      </c>
      <c r="O103">
        <f t="shared" si="6"/>
        <v>28.511600000000001</v>
      </c>
    </row>
    <row r="104" spans="1:15" ht="11.7" customHeight="1" x14ac:dyDescent="0.25">
      <c r="A104" s="986"/>
      <c r="B104" s="934"/>
      <c r="C104" s="935"/>
      <c r="D104" s="987"/>
      <c r="E104" s="987"/>
      <c r="F104" s="981"/>
      <c r="G104" s="983"/>
      <c r="H104" s="985">
        <f t="shared" si="11"/>
        <v>0</v>
      </c>
      <c r="I104" s="983"/>
      <c r="J104" s="983"/>
      <c r="K104" s="983"/>
      <c r="L104" s="939">
        <f t="shared" si="12"/>
        <v>0</v>
      </c>
    </row>
    <row r="105" spans="1:15" ht="10.95" customHeight="1" x14ac:dyDescent="0.25">
      <c r="A105" s="986"/>
      <c r="B105" s="934"/>
      <c r="C105" s="935"/>
      <c r="D105" s="987"/>
      <c r="E105" s="987"/>
      <c r="F105" s="981"/>
      <c r="G105" s="983"/>
      <c r="H105" s="985">
        <f t="shared" si="11"/>
        <v>0</v>
      </c>
      <c r="I105" s="983"/>
      <c r="J105" s="983"/>
      <c r="K105" s="983"/>
      <c r="L105" s="939">
        <f t="shared" si="12"/>
        <v>0</v>
      </c>
    </row>
    <row r="106" spans="1:15" x14ac:dyDescent="0.25">
      <c r="A106" s="986"/>
      <c r="B106" s="934"/>
      <c r="C106" s="935"/>
      <c r="D106" s="987"/>
      <c r="E106" s="987"/>
      <c r="F106" s="981"/>
      <c r="G106" s="983"/>
      <c r="H106" s="985">
        <f t="shared" si="11"/>
        <v>0</v>
      </c>
      <c r="I106" s="983"/>
      <c r="J106" s="983"/>
      <c r="K106" s="983"/>
      <c r="L106" s="939">
        <f t="shared" si="12"/>
        <v>0</v>
      </c>
    </row>
    <row r="107" spans="1:15" ht="8.25" customHeight="1" x14ac:dyDescent="0.25">
      <c r="A107" s="940"/>
      <c r="B107" s="941"/>
      <c r="C107" s="942"/>
      <c r="D107" s="943"/>
      <c r="E107" s="943"/>
      <c r="F107" s="943"/>
      <c r="G107" s="964"/>
      <c r="H107" s="944"/>
      <c r="I107" s="944"/>
      <c r="J107" s="946"/>
      <c r="K107" s="947"/>
      <c r="L107" s="948"/>
    </row>
    <row r="108" spans="1:15" x14ac:dyDescent="0.25">
      <c r="A108" s="965"/>
      <c r="B108" s="966"/>
      <c r="C108" s="966"/>
      <c r="D108" s="966"/>
      <c r="E108" s="966"/>
      <c r="F108" s="966"/>
      <c r="G108" s="966"/>
      <c r="H108" s="966"/>
      <c r="I108" s="966"/>
      <c r="J108" s="966"/>
      <c r="K108" s="967" t="s">
        <v>447</v>
      </c>
      <c r="L108" s="968">
        <f>ROUND(L69+L75+L82+L91,4)</f>
        <v>642.36279999999999</v>
      </c>
    </row>
    <row r="109" spans="1:15" ht="8.25" customHeight="1" x14ac:dyDescent="0.25">
      <c r="A109" s="990"/>
      <c r="B109" s="990"/>
      <c r="C109" s="990"/>
      <c r="D109" s="990"/>
      <c r="E109" s="990"/>
      <c r="F109" s="990"/>
      <c r="G109" s="875"/>
      <c r="H109" s="991"/>
      <c r="I109" s="991"/>
      <c r="J109" s="992"/>
      <c r="K109" s="993"/>
      <c r="L109" s="994"/>
    </row>
    <row r="110" spans="1:15" x14ac:dyDescent="0.25">
      <c r="A110" s="1637" t="s">
        <v>448</v>
      </c>
      <c r="B110" s="1637"/>
      <c r="C110" s="1637"/>
      <c r="D110" s="1637"/>
      <c r="E110" s="1637"/>
      <c r="F110" s="1637"/>
      <c r="G110" s="1637"/>
      <c r="H110" s="1637"/>
      <c r="I110" s="1637"/>
      <c r="J110" s="1637"/>
      <c r="K110" s="1637"/>
      <c r="L110" s="968">
        <f>ROUND(L66+L108,4)</f>
        <v>4236.2291999999998</v>
      </c>
    </row>
    <row r="111" spans="1:15" x14ac:dyDescent="0.25">
      <c r="A111" s="1638" t="s">
        <v>449</v>
      </c>
      <c r="B111" s="1638"/>
      <c r="C111" s="1638"/>
      <c r="D111" s="1638"/>
      <c r="E111" s="1638"/>
      <c r="F111" s="1638"/>
      <c r="G111" s="1638"/>
      <c r="H111" s="1638"/>
      <c r="I111" s="1638"/>
      <c r="J111" s="1638"/>
      <c r="K111" s="996">
        <f>[1]LDI!I34</f>
        <v>0.25569999999999998</v>
      </c>
      <c r="L111" s="997">
        <f>ROUND(L110*K111,4)</f>
        <v>1083.2038</v>
      </c>
    </row>
    <row r="112" spans="1:15" x14ac:dyDescent="0.25">
      <c r="A112" s="1639" t="s">
        <v>450</v>
      </c>
      <c r="B112" s="1639"/>
      <c r="C112" s="1639"/>
      <c r="D112" s="1639"/>
      <c r="E112" s="1639"/>
      <c r="F112" s="1639"/>
      <c r="G112" s="1639"/>
      <c r="H112" s="1639"/>
      <c r="I112" s="1639"/>
      <c r="J112" s="1639"/>
      <c r="K112" s="1639"/>
      <c r="L112" s="998">
        <f>ROUND(L110+L111,2)</f>
        <v>5319.43</v>
      </c>
    </row>
    <row r="113" spans="1:12" ht="8.25" customHeight="1" x14ac:dyDescent="0.25">
      <c r="A113" s="999"/>
      <c r="B113" s="999"/>
      <c r="C113" s="999"/>
      <c r="D113" s="999"/>
      <c r="E113" s="999"/>
      <c r="F113" s="999"/>
      <c r="G113" s="999"/>
      <c r="H113" s="999"/>
      <c r="I113" s="999"/>
      <c r="J113" s="999"/>
      <c r="K113" s="999"/>
      <c r="L113" s="999"/>
    </row>
    <row r="114" spans="1:12" ht="14.4" x14ac:dyDescent="0.25">
      <c r="A114" s="1000" t="s">
        <v>451</v>
      </c>
      <c r="B114" s="1001"/>
      <c r="C114" s="1002"/>
      <c r="D114" s="1002"/>
      <c r="E114" s="1002"/>
      <c r="F114" s="1002"/>
      <c r="G114" s="1002"/>
      <c r="H114" s="1002"/>
      <c r="I114" s="1002"/>
      <c r="J114" s="1002"/>
      <c r="K114" s="1002"/>
      <c r="L114" s="1003"/>
    </row>
    <row r="115" spans="1:12" ht="25.95" customHeight="1" x14ac:dyDescent="0.25">
      <c r="A115" s="1004" t="s">
        <v>452</v>
      </c>
      <c r="B115" s="1634" t="s">
        <v>453</v>
      </c>
      <c r="C115" s="1634"/>
      <c r="D115" s="1634"/>
      <c r="E115" s="1634"/>
      <c r="F115" s="1634"/>
      <c r="G115" s="1634"/>
      <c r="H115" s="1634"/>
      <c r="I115" s="1634"/>
      <c r="J115" s="1634"/>
      <c r="K115" s="1634"/>
      <c r="L115" s="1634"/>
    </row>
    <row r="116" spans="1:12" ht="14.4" x14ac:dyDescent="0.25">
      <c r="A116" s="1006"/>
      <c r="B116" s="1007" t="s">
        <v>454</v>
      </c>
      <c r="C116" s="1008"/>
      <c r="D116" s="1008"/>
      <c r="E116" s="1008"/>
      <c r="F116" s="1008"/>
      <c r="G116" s="1008"/>
      <c r="H116" s="1008"/>
      <c r="I116" s="1008"/>
      <c r="J116" s="1008"/>
      <c r="K116" s="1008"/>
      <c r="L116" s="1009"/>
    </row>
    <row r="117" spans="1:12" ht="45" customHeight="1" x14ac:dyDescent="0.25">
      <c r="A117" s="1006"/>
      <c r="B117" s="1010" t="s">
        <v>455</v>
      </c>
      <c r="C117" s="1634" t="s">
        <v>456</v>
      </c>
      <c r="D117" s="1634"/>
      <c r="E117" s="1634"/>
      <c r="F117" s="1634"/>
      <c r="G117" s="1634"/>
      <c r="H117" s="1634"/>
      <c r="I117" s="1634"/>
      <c r="J117" s="1634"/>
      <c r="K117" s="1634"/>
      <c r="L117" s="1634"/>
    </row>
    <row r="118" spans="1:12" ht="43.8" customHeight="1" x14ac:dyDescent="0.25">
      <c r="A118" s="1006"/>
      <c r="B118" s="1010" t="s">
        <v>457</v>
      </c>
      <c r="C118" s="1634" t="s">
        <v>458</v>
      </c>
      <c r="D118" s="1634"/>
      <c r="E118" s="1634"/>
      <c r="F118" s="1634"/>
      <c r="G118" s="1634"/>
      <c r="H118" s="1634"/>
      <c r="I118" s="1634"/>
      <c r="J118" s="1634"/>
      <c r="K118" s="1634"/>
      <c r="L118" s="1634"/>
    </row>
    <row r="119" spans="1:12" ht="34.200000000000003" customHeight="1" x14ac:dyDescent="0.25">
      <c r="A119" s="1006"/>
      <c r="B119" s="1010" t="s">
        <v>395</v>
      </c>
      <c r="C119" s="1634" t="s">
        <v>459</v>
      </c>
      <c r="D119" s="1634"/>
      <c r="E119" s="1634"/>
      <c r="F119" s="1634"/>
      <c r="G119" s="1634"/>
      <c r="H119" s="1634"/>
      <c r="I119" s="1634"/>
      <c r="J119" s="1634"/>
      <c r="K119" s="1634"/>
      <c r="L119" s="1634"/>
    </row>
    <row r="120" spans="1:12" ht="30.75" customHeight="1" x14ac:dyDescent="0.25">
      <c r="A120" s="1006"/>
      <c r="B120" s="1010" t="s">
        <v>460</v>
      </c>
      <c r="C120" s="1640" t="s">
        <v>461</v>
      </c>
      <c r="D120" s="1640"/>
      <c r="E120" s="1640"/>
      <c r="F120" s="1640"/>
      <c r="G120" s="1640"/>
      <c r="H120" s="1640"/>
      <c r="I120" s="1640"/>
      <c r="J120" s="1640"/>
      <c r="K120" s="1640"/>
      <c r="L120" s="1640"/>
    </row>
    <row r="121" spans="1:12" ht="24.9" customHeight="1" x14ac:dyDescent="0.25">
      <c r="A121" s="1006"/>
      <c r="B121" s="1010" t="s">
        <v>462</v>
      </c>
      <c r="C121" s="1634" t="s">
        <v>463</v>
      </c>
      <c r="D121" s="1634"/>
      <c r="E121" s="1634"/>
      <c r="F121" s="1634"/>
      <c r="G121" s="1634"/>
      <c r="H121" s="1634"/>
      <c r="I121" s="1634"/>
      <c r="J121" s="1634"/>
      <c r="K121" s="1634"/>
      <c r="L121" s="1634"/>
    </row>
    <row r="122" spans="1:12" ht="34.200000000000003" customHeight="1" x14ac:dyDescent="0.25">
      <c r="A122" s="1006"/>
      <c r="B122" s="1010" t="s">
        <v>464</v>
      </c>
      <c r="C122" s="1634" t="s">
        <v>465</v>
      </c>
      <c r="D122" s="1634"/>
      <c r="E122" s="1634"/>
      <c r="F122" s="1634"/>
      <c r="G122" s="1634"/>
      <c r="H122" s="1634"/>
      <c r="I122" s="1634"/>
      <c r="J122" s="1634"/>
      <c r="K122" s="1634"/>
      <c r="L122" s="1634"/>
    </row>
    <row r="123" spans="1:12" ht="14.4" x14ac:dyDescent="0.25">
      <c r="A123" s="1006"/>
      <c r="B123" s="1010"/>
      <c r="C123" s="1011"/>
      <c r="D123" s="1011"/>
      <c r="E123" s="1011"/>
      <c r="F123" s="1011"/>
      <c r="G123" s="1011"/>
      <c r="H123" s="1011"/>
      <c r="I123" s="1011"/>
      <c r="J123" s="1011"/>
      <c r="K123" s="1011"/>
      <c r="L123" s="1005"/>
    </row>
    <row r="124" spans="1:12" ht="14.4" x14ac:dyDescent="0.25">
      <c r="A124" s="1006"/>
      <c r="B124" s="1007" t="s">
        <v>466</v>
      </c>
      <c r="C124" s="1011"/>
      <c r="D124" s="1011"/>
      <c r="E124" s="1011"/>
      <c r="F124" s="1011"/>
      <c r="G124" s="1011"/>
      <c r="H124" s="1011"/>
      <c r="I124" s="1011"/>
      <c r="J124" s="1011"/>
      <c r="K124" s="1011"/>
      <c r="L124" s="1005"/>
    </row>
    <row r="125" spans="1:12" ht="34.950000000000003" customHeight="1" x14ac:dyDescent="0.25">
      <c r="A125" s="1006"/>
      <c r="B125" s="1010" t="s">
        <v>455</v>
      </c>
      <c r="C125" s="1634" t="s">
        <v>467</v>
      </c>
      <c r="D125" s="1634"/>
      <c r="E125" s="1634"/>
      <c r="F125" s="1634"/>
      <c r="G125" s="1634"/>
      <c r="H125" s="1634"/>
      <c r="I125" s="1634"/>
      <c r="J125" s="1634"/>
      <c r="K125" s="1634"/>
      <c r="L125" s="1634"/>
    </row>
    <row r="126" spans="1:12" ht="26.7" customHeight="1" x14ac:dyDescent="0.25">
      <c r="A126" s="1006"/>
      <c r="B126" s="1010" t="s">
        <v>457</v>
      </c>
      <c r="C126" s="1634" t="s">
        <v>468</v>
      </c>
      <c r="D126" s="1634"/>
      <c r="E126" s="1634"/>
      <c r="F126" s="1634"/>
      <c r="G126" s="1634"/>
      <c r="H126" s="1634"/>
      <c r="I126" s="1634"/>
      <c r="J126" s="1634"/>
      <c r="K126" s="1634"/>
      <c r="L126" s="1634"/>
    </row>
    <row r="127" spans="1:12" ht="8.25" customHeight="1" x14ac:dyDescent="0.25">
      <c r="A127" s="1012"/>
      <c r="B127" s="1013"/>
      <c r="C127" s="1014"/>
      <c r="D127" s="1014"/>
      <c r="E127" s="1014"/>
      <c r="F127" s="1014"/>
      <c r="G127" s="1014"/>
      <c r="H127" s="1014"/>
      <c r="I127" s="1014"/>
      <c r="J127" s="1014"/>
      <c r="K127" s="1014"/>
      <c r="L127" s="1015"/>
    </row>
  </sheetData>
  <sheetProtection selectLockedCells="1" selectUnlockedCells="1"/>
  <mergeCells count="59">
    <mergeCell ref="C126:L126"/>
    <mergeCell ref="C118:L118"/>
    <mergeCell ref="C119:L119"/>
    <mergeCell ref="C120:L120"/>
    <mergeCell ref="C121:L121"/>
    <mergeCell ref="C122:L122"/>
    <mergeCell ref="C125:L125"/>
    <mergeCell ref="C117:L117"/>
    <mergeCell ref="D62:F62"/>
    <mergeCell ref="D63:F63"/>
    <mergeCell ref="D64:F64"/>
    <mergeCell ref="A68:D68"/>
    <mergeCell ref="F68:H68"/>
    <mergeCell ref="I68:K68"/>
    <mergeCell ref="D76:E76"/>
    <mergeCell ref="A110:K110"/>
    <mergeCell ref="A111:J111"/>
    <mergeCell ref="A112:K112"/>
    <mergeCell ref="B115:L115"/>
    <mergeCell ref="L22:L23"/>
    <mergeCell ref="L30:L31"/>
    <mergeCell ref="D33:F33"/>
    <mergeCell ref="D34:F34"/>
    <mergeCell ref="D60:F60"/>
    <mergeCell ref="D38:F38"/>
    <mergeCell ref="D39:F39"/>
    <mergeCell ref="D42:F42"/>
    <mergeCell ref="D44:F44"/>
    <mergeCell ref="D46:F46"/>
    <mergeCell ref="D50:F50"/>
    <mergeCell ref="D51:F51"/>
    <mergeCell ref="D52:F52"/>
    <mergeCell ref="D54:F54"/>
    <mergeCell ref="D58:F58"/>
    <mergeCell ref="D59:F59"/>
    <mergeCell ref="D35:F35"/>
    <mergeCell ref="D18:E18"/>
    <mergeCell ref="J18:J20"/>
    <mergeCell ref="K18:K20"/>
    <mergeCell ref="D19:E19"/>
    <mergeCell ref="D20:E20"/>
    <mergeCell ref="A22:F23"/>
    <mergeCell ref="G22:G23"/>
    <mergeCell ref="H22:H23"/>
    <mergeCell ref="I22:I23"/>
    <mergeCell ref="J22:J23"/>
    <mergeCell ref="K22:K23"/>
    <mergeCell ref="A11:L12"/>
    <mergeCell ref="E14:J14"/>
    <mergeCell ref="D17:E17"/>
    <mergeCell ref="F17:G17"/>
    <mergeCell ref="H17:I17"/>
    <mergeCell ref="J17:K17"/>
    <mergeCell ref="A8:D8"/>
    <mergeCell ref="A1:L1"/>
    <mergeCell ref="A2:L2"/>
    <mergeCell ref="A3:K3"/>
    <mergeCell ref="A4:K4"/>
    <mergeCell ref="A7:L7"/>
  </mergeCells>
  <dataValidations count="1">
    <dataValidation allowBlank="1" showInputMessage="1" showErrorMessage="1" prompt="Clique duas vezes sobre o número do item para ser direcionado à Planilha Orçamentária." sqref="D14" xr:uid="{00000000-0002-0000-0700-000000000000}">
      <formula1>0</formula1>
      <formula2>0</formula2>
    </dataValidation>
  </dataValidations>
  <printOptions horizontalCentered="1" verticalCentered="1"/>
  <pageMargins left="0.70866141732283472" right="0.70866141732283472" top="0.78740157480314965" bottom="0.74803149606299213" header="0.11811023622047245" footer="0.31496062992125984"/>
  <pageSetup paperSize="9" scale="75" firstPageNumber="0" fitToHeight="0" orientation="portrait" horizontalDpi="300" verticalDpi="300" r:id="rId1"/>
  <headerFooter>
    <oddHeader>&amp;C&amp;G</oddHeader>
    <oddFooter>&amp;C&amp;14End: Tv. Estrela, nº 406 - B. Bairro: Bom Jesus, Mãe do Rio - PA&amp;R&amp;P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5"/>
  <sheetViews>
    <sheetView view="pageBreakPreview" zoomScale="90" zoomScaleNormal="80" zoomScaleSheetLayoutView="90" workbookViewId="0">
      <selection activeCell="A19" sqref="A18:K21"/>
    </sheetView>
  </sheetViews>
  <sheetFormatPr defaultRowHeight="13.2" x14ac:dyDescent="0.25"/>
  <cols>
    <col min="1" max="2" width="7.6640625" style="845" customWidth="1"/>
    <col min="3" max="3" width="2" style="845" customWidth="1"/>
    <col min="4" max="4" width="3.77734375" style="845" customWidth="1"/>
    <col min="5" max="5" width="23.77734375" style="845" customWidth="1"/>
    <col min="6" max="6" width="12.6640625" style="845" customWidth="1"/>
    <col min="7" max="7" width="8.77734375" style="845" customWidth="1"/>
    <col min="8" max="8" width="9.33203125" style="845" customWidth="1"/>
    <col min="9" max="10" width="8.77734375" style="845" customWidth="1"/>
    <col min="11" max="11" width="10.5546875" style="845" customWidth="1"/>
    <col min="12" max="12" width="16.5546875" style="845" customWidth="1"/>
    <col min="13" max="256" width="11.44140625" customWidth="1"/>
  </cols>
  <sheetData>
    <row r="1" spans="1:12" x14ac:dyDescent="0.25">
      <c r="A1" s="1641"/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</row>
    <row r="2" spans="1:12" ht="15" customHeight="1" x14ac:dyDescent="0.3">
      <c r="A2" s="1617" t="str">
        <f>'[1]Planilha orçamentária'!E4</f>
        <v>PROJETO BÁSICO DE ENGENHARIA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</row>
    <row r="3" spans="1:12" x14ac:dyDescent="0.25">
      <c r="A3" s="1641"/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</row>
    <row r="4" spans="1:12" x14ac:dyDescent="0.25">
      <c r="A4" s="1618"/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</row>
    <row r="5" spans="1:12" ht="13.8" x14ac:dyDescent="0.25">
      <c r="A5" s="1826" t="str">
        <f>ORÇAMENTÁRIA!D1</f>
        <v>J J BORGES DE OLIVEIRA EIRELI</v>
      </c>
      <c r="B5" s="1826"/>
      <c r="C5" s="1826"/>
      <c r="D5" s="1826"/>
      <c r="E5" s="1826"/>
      <c r="F5" s="1826"/>
      <c r="G5" s="1826"/>
      <c r="H5" s="1826"/>
      <c r="I5" s="1826"/>
      <c r="J5" s="1826"/>
      <c r="K5" s="1826"/>
      <c r="L5" s="846" t="s">
        <v>411</v>
      </c>
    </row>
    <row r="6" spans="1:12" x14ac:dyDescent="0.25">
      <c r="A6" s="1825" t="str">
        <f>ORÇAMENTÁRIA!D2</f>
        <v>20.129.307/0001-02</v>
      </c>
      <c r="B6" s="1825"/>
      <c r="C6" s="1825"/>
      <c r="D6" s="1825"/>
      <c r="E6" s="1825"/>
      <c r="F6" s="1825"/>
      <c r="G6" s="1825"/>
      <c r="H6" s="1825"/>
      <c r="I6" s="1825"/>
      <c r="J6" s="1825"/>
      <c r="K6" s="1825"/>
      <c r="L6" s="847"/>
    </row>
    <row r="7" spans="1:12" ht="14.7" customHeight="1" x14ac:dyDescent="0.25">
      <c r="A7" s="1619"/>
      <c r="B7" s="1619"/>
      <c r="C7" s="1619"/>
      <c r="D7" s="1619"/>
      <c r="E7" s="1619"/>
      <c r="F7" s="1619"/>
      <c r="G7" s="1619"/>
      <c r="H7" s="1619"/>
      <c r="I7" s="1619"/>
      <c r="J7" s="1619"/>
      <c r="K7" s="1619"/>
      <c r="L7" s="1642" t="s">
        <v>169</v>
      </c>
    </row>
    <row r="8" spans="1:12" x14ac:dyDescent="0.25">
      <c r="A8" s="848"/>
      <c r="B8" s="849"/>
      <c r="C8" s="850"/>
      <c r="D8" s="851"/>
      <c r="E8" s="852"/>
      <c r="F8" s="850"/>
      <c r="G8" s="850"/>
      <c r="H8" s="850"/>
      <c r="I8" s="850"/>
      <c r="J8" s="850"/>
      <c r="K8" s="853"/>
      <c r="L8" s="1642"/>
    </row>
    <row r="9" spans="1:12" ht="12.75" customHeight="1" x14ac:dyDescent="0.25">
      <c r="A9" s="855"/>
      <c r="B9" s="855"/>
      <c r="C9" s="856"/>
      <c r="D9" s="857"/>
      <c r="E9" s="857"/>
      <c r="F9" s="858"/>
      <c r="G9" s="858"/>
      <c r="H9" s="858"/>
      <c r="I9" s="858"/>
      <c r="J9" s="858"/>
      <c r="K9" s="858"/>
      <c r="L9" s="859"/>
    </row>
    <row r="10" spans="1:12" x14ac:dyDescent="0.25">
      <c r="A10" s="1620"/>
      <c r="B10" s="1620"/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</row>
    <row r="11" spans="1:12" x14ac:dyDescent="0.25">
      <c r="A11" s="1616" t="s">
        <v>413</v>
      </c>
      <c r="B11" s="1616"/>
      <c r="C11" s="1616"/>
      <c r="D11" s="1616"/>
      <c r="E11" s="860" t="str">
        <f>'[1]Planilha orçamentária'!E9</f>
        <v>Construção / Recuperação e complementação de estradas vicinais</v>
      </c>
      <c r="F11" s="861"/>
      <c r="G11" s="861"/>
      <c r="H11" s="861"/>
      <c r="I11" s="861"/>
      <c r="J11" s="861"/>
      <c r="K11" s="861"/>
      <c r="L11" s="862"/>
    </row>
    <row r="12" spans="1:12" x14ac:dyDescent="0.25">
      <c r="A12" s="863"/>
      <c r="B12" s="851"/>
      <c r="C12" s="864"/>
      <c r="D12" s="851"/>
      <c r="E12" s="851"/>
      <c r="F12" s="850"/>
      <c r="G12" s="850"/>
      <c r="H12" s="850"/>
      <c r="I12" s="850"/>
      <c r="J12" s="850"/>
      <c r="K12" s="850"/>
      <c r="L12" s="865"/>
    </row>
    <row r="13" spans="1:12" ht="9.4499999999999993" customHeight="1" x14ac:dyDescent="0.25">
      <c r="A13" s="858"/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9"/>
    </row>
    <row r="14" spans="1:12" x14ac:dyDescent="0.25">
      <c r="A14" s="1621" t="s">
        <v>414</v>
      </c>
      <c r="B14" s="1621"/>
      <c r="C14" s="1621"/>
      <c r="D14" s="1621"/>
      <c r="E14" s="1621"/>
      <c r="F14" s="1621"/>
      <c r="G14" s="1621"/>
      <c r="H14" s="1621"/>
      <c r="I14" s="1621"/>
      <c r="J14" s="1621"/>
      <c r="K14" s="1621"/>
      <c r="L14" s="1621"/>
    </row>
    <row r="15" spans="1:12" x14ac:dyDescent="0.25">
      <c r="A15" s="1621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</row>
    <row r="16" spans="1:12" x14ac:dyDescent="0.25">
      <c r="A16" s="866"/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</row>
    <row r="17" spans="1:12" x14ac:dyDescent="0.25">
      <c r="A17" s="867" t="s">
        <v>415</v>
      </c>
      <c r="B17" s="868"/>
      <c r="C17" s="868"/>
      <c r="D17" s="1016" t="s">
        <v>169</v>
      </c>
      <c r="E17" s="1643" t="s">
        <v>469</v>
      </c>
      <c r="F17" s="1643"/>
      <c r="G17" s="1643"/>
      <c r="H17" s="1643"/>
      <c r="I17" s="1643"/>
      <c r="J17" s="1643"/>
      <c r="K17" s="871" t="s">
        <v>417</v>
      </c>
      <c r="L17" s="870" t="s">
        <v>470</v>
      </c>
    </row>
    <row r="18" spans="1:12" ht="15.75" customHeight="1" x14ac:dyDescent="0.25">
      <c r="A18" s="855"/>
      <c r="B18" s="855"/>
      <c r="C18" s="855"/>
      <c r="D18" s="855"/>
      <c r="E18" s="855"/>
      <c r="F18" s="855"/>
      <c r="G18" s="855"/>
      <c r="H18" s="855"/>
      <c r="I18" s="855"/>
      <c r="J18" s="855"/>
      <c r="K18" s="855"/>
      <c r="L18" s="855"/>
    </row>
    <row r="19" spans="1:12" x14ac:dyDescent="0.25">
      <c r="A19" s="1644" t="s">
        <v>426</v>
      </c>
      <c r="B19" s="1644"/>
      <c r="C19" s="1644"/>
      <c r="D19" s="1644"/>
      <c r="E19" s="1644"/>
      <c r="F19" s="1644"/>
      <c r="G19" s="1630" t="s">
        <v>164</v>
      </c>
      <c r="H19" s="1630" t="s">
        <v>284</v>
      </c>
      <c r="I19" s="1630"/>
      <c r="J19" s="1645" t="s">
        <v>471</v>
      </c>
      <c r="K19" s="1645"/>
      <c r="L19" s="1018" t="s">
        <v>472</v>
      </c>
    </row>
    <row r="20" spans="1:12" x14ac:dyDescent="0.25">
      <c r="A20" s="1644"/>
      <c r="B20" s="1644"/>
      <c r="C20" s="1644"/>
      <c r="D20" s="1644"/>
      <c r="E20" s="1644"/>
      <c r="F20" s="1644"/>
      <c r="G20" s="1630"/>
      <c r="H20" s="886" t="s">
        <v>473</v>
      </c>
      <c r="I20" s="1019" t="s">
        <v>474</v>
      </c>
      <c r="J20" s="886" t="s">
        <v>473</v>
      </c>
      <c r="K20" s="1019" t="s">
        <v>474</v>
      </c>
      <c r="L20" s="1020" t="s">
        <v>475</v>
      </c>
    </row>
    <row r="21" spans="1:12" x14ac:dyDescent="0.25">
      <c r="A21" s="1021"/>
      <c r="B21" s="1022"/>
      <c r="C21" s="991"/>
      <c r="D21" s="990"/>
      <c r="E21" s="875"/>
      <c r="F21" s="877"/>
      <c r="G21" s="1023"/>
      <c r="H21" s="1024"/>
      <c r="I21" s="904"/>
      <c r="J21" s="1025"/>
      <c r="K21" s="1025"/>
      <c r="L21" s="929">
        <f t="shared" ref="L21:L24" si="0">ROUND((G21*H21*J21)+(G21*I21*K21),4)</f>
        <v>0</v>
      </c>
    </row>
    <row r="22" spans="1:12" x14ac:dyDescent="0.25">
      <c r="A22" s="984"/>
      <c r="B22" s="1026"/>
      <c r="C22" s="922"/>
      <c r="D22" s="885"/>
      <c r="E22" s="855"/>
      <c r="F22" s="880"/>
      <c r="G22" s="1023"/>
      <c r="H22" s="1024"/>
      <c r="I22" s="904"/>
      <c r="J22" s="1025"/>
      <c r="K22" s="1027"/>
      <c r="L22" s="929">
        <f t="shared" si="0"/>
        <v>0</v>
      </c>
    </row>
    <row r="23" spans="1:12" x14ac:dyDescent="0.25">
      <c r="A23" s="984"/>
      <c r="B23" s="1026"/>
      <c r="C23" s="922"/>
      <c r="D23" s="885"/>
      <c r="E23" s="855"/>
      <c r="F23" s="880"/>
      <c r="G23" s="1023"/>
      <c r="H23" s="1024"/>
      <c r="I23" s="904"/>
      <c r="J23" s="1025"/>
      <c r="K23" s="1027"/>
      <c r="L23" s="929">
        <f t="shared" si="0"/>
        <v>0</v>
      </c>
    </row>
    <row r="24" spans="1:12" x14ac:dyDescent="0.25">
      <c r="A24" s="1028"/>
      <c r="B24" s="1029"/>
      <c r="C24" s="1019"/>
      <c r="D24" s="1029"/>
      <c r="E24" s="1029"/>
      <c r="F24" s="1030"/>
      <c r="G24" s="1031"/>
      <c r="H24" s="1024"/>
      <c r="I24" s="904"/>
      <c r="J24" s="1032"/>
      <c r="K24" s="1027"/>
      <c r="L24" s="929">
        <f t="shared" si="0"/>
        <v>0</v>
      </c>
    </row>
    <row r="25" spans="1:12" x14ac:dyDescent="0.25">
      <c r="A25" s="1646" t="s">
        <v>476</v>
      </c>
      <c r="B25" s="1646"/>
      <c r="C25" s="1646"/>
      <c r="D25" s="1646"/>
      <c r="E25" s="1646"/>
      <c r="F25" s="1646"/>
      <c r="G25" s="1646"/>
      <c r="H25" s="1646"/>
      <c r="I25" s="1646"/>
      <c r="J25" s="1646"/>
      <c r="K25" s="1646"/>
      <c r="L25" s="1033">
        <f>ROUND(SUM(L21:L24),4)</f>
        <v>0</v>
      </c>
    </row>
    <row r="26" spans="1:12" x14ac:dyDescent="0.25">
      <c r="A26" s="873"/>
      <c r="B26" s="873"/>
      <c r="C26" s="873"/>
      <c r="D26" s="873"/>
      <c r="E26" s="873"/>
      <c r="F26" s="873"/>
      <c r="G26" s="873"/>
      <c r="H26" s="966"/>
      <c r="I26" s="966"/>
      <c r="J26" s="966"/>
      <c r="K26" s="966"/>
      <c r="L26" s="966"/>
    </row>
    <row r="27" spans="1:12" ht="9.4499999999999993" customHeight="1" x14ac:dyDescent="0.25">
      <c r="A27" s="1629" t="s">
        <v>439</v>
      </c>
      <c r="B27" s="1629"/>
      <c r="C27" s="1629"/>
      <c r="D27" s="1629"/>
      <c r="E27" s="1629"/>
      <c r="F27" s="1629"/>
      <c r="G27" s="1629"/>
      <c r="H27" s="1629"/>
      <c r="I27" s="1629"/>
      <c r="J27" s="1630" t="s">
        <v>164</v>
      </c>
      <c r="K27" s="1631" t="s">
        <v>477</v>
      </c>
      <c r="L27" s="1018" t="s">
        <v>441</v>
      </c>
    </row>
    <row r="28" spans="1:12" x14ac:dyDescent="0.25">
      <c r="A28" s="1629"/>
      <c r="B28" s="1629"/>
      <c r="C28" s="1629"/>
      <c r="D28" s="1629"/>
      <c r="E28" s="1629"/>
      <c r="F28" s="1629"/>
      <c r="G28" s="1629"/>
      <c r="H28" s="1629"/>
      <c r="I28" s="1629"/>
      <c r="J28" s="1630"/>
      <c r="K28" s="1631"/>
      <c r="L28" s="1020" t="s">
        <v>475</v>
      </c>
    </row>
    <row r="29" spans="1:12" x14ac:dyDescent="0.25">
      <c r="A29" s="984"/>
      <c r="B29" s="1034"/>
      <c r="C29" s="922"/>
      <c r="D29" s="885"/>
      <c r="E29" s="885"/>
      <c r="F29" s="885"/>
      <c r="G29" s="855"/>
      <c r="H29" s="922"/>
      <c r="I29" s="1035"/>
      <c r="J29" s="1023"/>
      <c r="K29" s="1036"/>
      <c r="L29" s="897">
        <f t="shared" ref="L29:L32" si="1">ROUND(J29*K29,4)</f>
        <v>0</v>
      </c>
    </row>
    <row r="30" spans="1:12" x14ac:dyDescent="0.25">
      <c r="A30" s="984"/>
      <c r="B30" s="1026"/>
      <c r="C30" s="922"/>
      <c r="D30" s="885"/>
      <c r="E30" s="885"/>
      <c r="F30" s="885"/>
      <c r="G30" s="855"/>
      <c r="H30" s="922"/>
      <c r="I30" s="1035"/>
      <c r="J30" s="1023"/>
      <c r="K30" s="963"/>
      <c r="L30" s="907">
        <f t="shared" si="1"/>
        <v>0</v>
      </c>
    </row>
    <row r="31" spans="1:12" x14ac:dyDescent="0.25">
      <c r="A31" s="984"/>
      <c r="B31" s="1026"/>
      <c r="C31" s="922"/>
      <c r="D31" s="885"/>
      <c r="E31" s="885"/>
      <c r="F31" s="885"/>
      <c r="G31" s="855"/>
      <c r="H31" s="922"/>
      <c r="I31" s="1035"/>
      <c r="J31" s="1023"/>
      <c r="K31" s="963"/>
      <c r="L31" s="907">
        <f t="shared" si="1"/>
        <v>0</v>
      </c>
    </row>
    <row r="32" spans="1:12" x14ac:dyDescent="0.25">
      <c r="A32" s="1037"/>
      <c r="B32" s="1038"/>
      <c r="C32" s="1029"/>
      <c r="D32" s="1029"/>
      <c r="E32" s="1029"/>
      <c r="F32" s="1029"/>
      <c r="G32" s="849"/>
      <c r="H32" s="1019"/>
      <c r="I32" s="1039"/>
      <c r="J32" s="1031"/>
      <c r="K32" s="963"/>
      <c r="L32" s="907">
        <f t="shared" si="1"/>
        <v>0</v>
      </c>
    </row>
    <row r="33" spans="1:16" x14ac:dyDescent="0.25">
      <c r="A33" s="1646" t="s">
        <v>478</v>
      </c>
      <c r="B33" s="1646"/>
      <c r="C33" s="1646"/>
      <c r="D33" s="1646"/>
      <c r="E33" s="1646"/>
      <c r="F33" s="1646"/>
      <c r="G33" s="1646"/>
      <c r="H33" s="1646"/>
      <c r="I33" s="1646"/>
      <c r="J33" s="1646"/>
      <c r="K33" s="1646"/>
      <c r="L33" s="1033">
        <f>ROUND(SUM(L29:L32),4)</f>
        <v>0</v>
      </c>
    </row>
    <row r="34" spans="1:16" x14ac:dyDescent="0.25">
      <c r="A34" s="873"/>
      <c r="B34" s="873"/>
      <c r="C34" s="873"/>
      <c r="D34" s="873"/>
      <c r="E34" s="873"/>
      <c r="F34" s="873"/>
      <c r="G34" s="873"/>
      <c r="H34" s="873"/>
      <c r="I34" s="873"/>
      <c r="J34" s="966"/>
      <c r="K34" s="966"/>
      <c r="L34" s="1040"/>
    </row>
    <row r="35" spans="1:16" x14ac:dyDescent="0.25">
      <c r="A35" s="873"/>
      <c r="B35" s="873"/>
      <c r="C35" s="873"/>
      <c r="D35" s="873"/>
      <c r="E35" s="873"/>
      <c r="F35" s="873"/>
      <c r="G35" s="873"/>
      <c r="H35" s="873"/>
      <c r="I35" s="873"/>
      <c r="J35" s="966"/>
      <c r="K35" s="1041" t="s">
        <v>479</v>
      </c>
      <c r="L35" s="1042">
        <f>L25+L33</f>
        <v>0</v>
      </c>
    </row>
    <row r="36" spans="1:16" x14ac:dyDescent="0.25">
      <c r="A36" s="1043" t="s">
        <v>480</v>
      </c>
      <c r="B36" s="873"/>
      <c r="C36" s="873"/>
      <c r="D36" s="873"/>
      <c r="E36" s="873"/>
      <c r="F36" s="1044">
        <v>1</v>
      </c>
      <c r="G36" s="1045" t="str">
        <f>L17</f>
        <v>mês</v>
      </c>
      <c r="H36" s="1043"/>
      <c r="I36" s="873"/>
      <c r="J36" s="1046"/>
      <c r="K36" s="1047" t="s">
        <v>481</v>
      </c>
      <c r="L36" s="976">
        <f>ROUND(L35/F36,4)</f>
        <v>0</v>
      </c>
    </row>
    <row r="37" spans="1:16" x14ac:dyDescent="0.25">
      <c r="A37" s="1043"/>
      <c r="B37" s="873" t="s">
        <v>482</v>
      </c>
      <c r="C37" s="873"/>
      <c r="D37" s="873"/>
      <c r="E37" s="873"/>
      <c r="F37" s="1044"/>
      <c r="G37" s="1045"/>
      <c r="H37" s="1043"/>
      <c r="I37" s="873"/>
      <c r="J37" s="1046"/>
      <c r="K37" s="1041" t="s">
        <v>483</v>
      </c>
      <c r="L37" s="976">
        <f>ROUND(L36*F37,4)</f>
        <v>0</v>
      </c>
    </row>
    <row r="38" spans="1:16" x14ac:dyDescent="0.25">
      <c r="A38" s="1043"/>
      <c r="B38" s="873" t="s">
        <v>484</v>
      </c>
      <c r="C38" s="873"/>
      <c r="D38" s="873"/>
      <c r="E38" s="873"/>
      <c r="F38" s="1044"/>
      <c r="G38" s="1045"/>
      <c r="H38" s="1046"/>
      <c r="I38" s="1048"/>
      <c r="J38" s="966"/>
      <c r="K38" s="1041" t="s">
        <v>485</v>
      </c>
      <c r="L38" s="976">
        <f>ROUND(L36*F38,4)</f>
        <v>0</v>
      </c>
    </row>
    <row r="39" spans="1:16" x14ac:dyDescent="0.25">
      <c r="A39" s="873"/>
      <c r="B39" s="873"/>
      <c r="C39" s="873"/>
      <c r="D39" s="873"/>
      <c r="E39" s="873"/>
      <c r="F39" s="873"/>
      <c r="G39" s="873"/>
      <c r="H39" s="873"/>
      <c r="I39" s="873"/>
      <c r="J39" s="966"/>
      <c r="K39" s="966"/>
      <c r="L39" s="1040"/>
    </row>
    <row r="40" spans="1:16" x14ac:dyDescent="0.25">
      <c r="A40" s="1629" t="s">
        <v>486</v>
      </c>
      <c r="B40" s="1629"/>
      <c r="C40" s="1629"/>
      <c r="D40" s="1629"/>
      <c r="E40" s="1629"/>
      <c r="F40" s="1629"/>
      <c r="G40" s="1629"/>
      <c r="H40" s="1629"/>
      <c r="I40" s="1639" t="s">
        <v>487</v>
      </c>
      <c r="J40" s="1639"/>
      <c r="K40" s="1639"/>
      <c r="L40" s="1049">
        <f>ROUND(SUM(L36:L39),4)</f>
        <v>0</v>
      </c>
    </row>
    <row r="41" spans="1:16" x14ac:dyDescent="0.25">
      <c r="A41" s="855"/>
      <c r="B41" s="855"/>
      <c r="C41" s="855"/>
      <c r="D41" s="855"/>
      <c r="E41" s="855"/>
      <c r="F41" s="855"/>
      <c r="G41" s="1050"/>
      <c r="H41" s="1050"/>
      <c r="I41" s="876"/>
      <c r="J41" s="876"/>
      <c r="K41" s="876"/>
      <c r="L41" s="855"/>
    </row>
    <row r="42" spans="1:16" x14ac:dyDescent="0.25">
      <c r="A42" s="1629" t="s">
        <v>488</v>
      </c>
      <c r="B42" s="1629"/>
      <c r="C42" s="1629"/>
      <c r="D42" s="1629"/>
      <c r="E42" s="1629"/>
      <c r="F42" s="1629"/>
      <c r="G42" s="1629"/>
      <c r="H42" s="1630" t="s">
        <v>164</v>
      </c>
      <c r="I42" s="1630"/>
      <c r="J42" s="1630" t="s">
        <v>163</v>
      </c>
      <c r="K42" s="1018" t="s">
        <v>489</v>
      </c>
      <c r="L42" s="1018" t="s">
        <v>472</v>
      </c>
      <c r="N42">
        <v>0.1</v>
      </c>
    </row>
    <row r="43" spans="1:16" ht="9.4499999999999993" customHeight="1" x14ac:dyDescent="0.25">
      <c r="A43" s="1629"/>
      <c r="B43" s="1629"/>
      <c r="C43" s="1629"/>
      <c r="D43" s="1629"/>
      <c r="E43" s="1629"/>
      <c r="F43" s="1629"/>
      <c r="G43" s="1629"/>
      <c r="H43" s="1630"/>
      <c r="I43" s="1630"/>
      <c r="J43" s="1630"/>
      <c r="K43" s="1051" t="s">
        <v>490</v>
      </c>
      <c r="L43" s="1020" t="s">
        <v>490</v>
      </c>
    </row>
    <row r="44" spans="1:16" x14ac:dyDescent="0.25">
      <c r="A44" s="984" t="str">
        <f>'[1]Atualização de custos unitarios'!A118</f>
        <v>DNIT –</v>
      </c>
      <c r="B44" s="1034" t="str">
        <f>'[1]Atualização de custos unitarios'!B118</f>
        <v>Imóveis</v>
      </c>
      <c r="C44" s="922" t="s">
        <v>434</v>
      </c>
      <c r="D44" s="885" t="str">
        <f>'[1]Atualização de custos unitarios'!C118</f>
        <v>Imóveis / Alojamento para pessoal</v>
      </c>
      <c r="E44" s="885"/>
      <c r="F44" s="885"/>
      <c r="G44" s="880"/>
      <c r="H44" s="1649">
        <v>1</v>
      </c>
      <c r="I44" s="1649"/>
      <c r="J44" s="1053" t="str">
        <f>'[1]Atualização de custos unitarios'!D118</f>
        <v>mês</v>
      </c>
      <c r="K44" s="963">
        <v>1357.52</v>
      </c>
      <c r="L44" s="929">
        <f t="shared" ref="L44:L48" si="2">ROUND(K44*H44,4)</f>
        <v>1357.52</v>
      </c>
      <c r="N44" s="1782">
        <f>K44-N42</f>
        <v>1357.42</v>
      </c>
      <c r="P44">
        <v>452.54</v>
      </c>
    </row>
    <row r="45" spans="1:16" x14ac:dyDescent="0.25">
      <c r="A45" s="984"/>
      <c r="B45" s="1054"/>
      <c r="C45" s="885"/>
      <c r="D45" s="855"/>
      <c r="E45" s="885"/>
      <c r="F45" s="885"/>
      <c r="G45" s="880"/>
      <c r="H45" s="1649"/>
      <c r="I45" s="1649"/>
      <c r="J45" s="1053"/>
      <c r="K45" s="963"/>
      <c r="L45" s="929">
        <f t="shared" si="2"/>
        <v>0</v>
      </c>
      <c r="P45" s="1782">
        <f>K44-P44</f>
        <v>904.98</v>
      </c>
    </row>
    <row r="46" spans="1:16" x14ac:dyDescent="0.25">
      <c r="A46" s="984"/>
      <c r="B46" s="1026"/>
      <c r="C46" s="922"/>
      <c r="D46" s="1650"/>
      <c r="E46" s="1650"/>
      <c r="F46" s="1650"/>
      <c r="G46" s="1650"/>
      <c r="H46" s="1648"/>
      <c r="I46" s="1648"/>
      <c r="J46" s="1024"/>
      <c r="K46" s="985"/>
      <c r="L46" s="929">
        <f t="shared" si="2"/>
        <v>0</v>
      </c>
    </row>
    <row r="47" spans="1:16" x14ac:dyDescent="0.25">
      <c r="A47" s="1647"/>
      <c r="B47" s="1647"/>
      <c r="C47" s="922"/>
      <c r="D47" s="885"/>
      <c r="E47" s="885"/>
      <c r="F47" s="885"/>
      <c r="G47" s="880"/>
      <c r="H47" s="1648"/>
      <c r="I47" s="1648"/>
      <c r="J47" s="1024"/>
      <c r="K47" s="985"/>
      <c r="L47" s="929">
        <f t="shared" si="2"/>
        <v>0</v>
      </c>
    </row>
    <row r="48" spans="1:16" x14ac:dyDescent="0.25">
      <c r="A48" s="1055"/>
      <c r="B48" s="922"/>
      <c r="C48" s="922"/>
      <c r="D48" s="1029"/>
      <c r="E48" s="1029"/>
      <c r="F48" s="1029"/>
      <c r="G48" s="1056"/>
      <c r="H48" s="1648"/>
      <c r="I48" s="1648"/>
      <c r="J48" s="1024"/>
      <c r="K48" s="985"/>
      <c r="L48" s="929">
        <f t="shared" si="2"/>
        <v>0</v>
      </c>
    </row>
    <row r="49" spans="1:12" x14ac:dyDescent="0.25">
      <c r="A49" s="1637" t="s">
        <v>491</v>
      </c>
      <c r="B49" s="1637"/>
      <c r="C49" s="1637"/>
      <c r="D49" s="1637"/>
      <c r="E49" s="1637"/>
      <c r="F49" s="1637"/>
      <c r="G49" s="1637"/>
      <c r="H49" s="1637"/>
      <c r="I49" s="1637"/>
      <c r="J49" s="1637"/>
      <c r="K49" s="1637"/>
      <c r="L49" s="1049">
        <f>ROUND(SUM(L44:L48),4)</f>
        <v>1357.52</v>
      </c>
    </row>
    <row r="50" spans="1:12" x14ac:dyDescent="0.25">
      <c r="A50" s="875"/>
      <c r="B50" s="875"/>
      <c r="C50" s="875"/>
      <c r="D50" s="875"/>
      <c r="E50" s="875"/>
      <c r="F50" s="875"/>
      <c r="G50" s="875"/>
      <c r="H50" s="875"/>
      <c r="I50" s="875"/>
      <c r="J50" s="855"/>
      <c r="K50" s="1057"/>
      <c r="L50" s="1058"/>
    </row>
    <row r="51" spans="1:12" ht="14.7" customHeight="1" x14ac:dyDescent="0.25">
      <c r="A51" s="1629" t="s">
        <v>492</v>
      </c>
      <c r="B51" s="1629"/>
      <c r="C51" s="1629"/>
      <c r="D51" s="1629"/>
      <c r="E51" s="1629"/>
      <c r="F51" s="1629"/>
      <c r="G51" s="1631" t="s">
        <v>493</v>
      </c>
      <c r="H51" s="1630" t="s">
        <v>494</v>
      </c>
      <c r="I51" s="1630"/>
      <c r="J51" s="1630"/>
      <c r="K51" s="1630"/>
      <c r="L51" s="1630" t="s">
        <v>495</v>
      </c>
    </row>
    <row r="52" spans="1:12" x14ac:dyDescent="0.25">
      <c r="A52" s="1629"/>
      <c r="B52" s="1629"/>
      <c r="C52" s="1629"/>
      <c r="D52" s="1629"/>
      <c r="E52" s="1629"/>
      <c r="F52" s="1629"/>
      <c r="G52" s="1631"/>
      <c r="H52" s="887" t="s">
        <v>110</v>
      </c>
      <c r="I52" s="1039" t="s">
        <v>302</v>
      </c>
      <c r="J52" s="1020" t="s">
        <v>305</v>
      </c>
      <c r="K52" s="1051" t="s">
        <v>307</v>
      </c>
      <c r="L52" s="1630"/>
    </row>
    <row r="53" spans="1:12" x14ac:dyDescent="0.25">
      <c r="A53" s="1629"/>
      <c r="B53" s="1629"/>
      <c r="C53" s="1629"/>
      <c r="D53" s="1629"/>
      <c r="E53" s="1629"/>
      <c r="F53" s="1629"/>
      <c r="G53" s="1631"/>
      <c r="H53" s="886" t="s">
        <v>496</v>
      </c>
      <c r="I53" s="1059"/>
      <c r="J53" s="1059"/>
      <c r="K53" s="1059"/>
      <c r="L53" s="1630"/>
    </row>
    <row r="54" spans="1:12" x14ac:dyDescent="0.25">
      <c r="A54" s="1652"/>
      <c r="B54" s="1653"/>
      <c r="C54" s="1654" t="s">
        <v>434</v>
      </c>
      <c r="D54" s="1655"/>
      <c r="E54" s="1655"/>
      <c r="F54" s="1656"/>
      <c r="G54" s="1657">
        <v>0</v>
      </c>
      <c r="H54" s="1060" t="s">
        <v>497</v>
      </c>
      <c r="I54" s="1061"/>
      <c r="J54" s="1061"/>
      <c r="K54" s="1061"/>
      <c r="L54" s="1651">
        <f>ROUND(G54*($I$53*I55+$J$53*J55+$K$53*K55),4)</f>
        <v>0</v>
      </c>
    </row>
    <row r="55" spans="1:12" x14ac:dyDescent="0.25">
      <c r="A55" s="1652"/>
      <c r="B55" s="1653"/>
      <c r="C55" s="1654"/>
      <c r="D55" s="1655"/>
      <c r="E55" s="1655"/>
      <c r="F55" s="1656"/>
      <c r="G55" s="1657"/>
      <c r="H55" s="1062" t="s">
        <v>498</v>
      </c>
      <c r="I55" s="1063"/>
      <c r="J55" s="1063"/>
      <c r="K55" s="1063"/>
      <c r="L55" s="1651"/>
    </row>
    <row r="56" spans="1:12" x14ac:dyDescent="0.25">
      <c r="A56" s="1055"/>
      <c r="B56" s="922"/>
      <c r="C56" s="922"/>
      <c r="D56" s="1029"/>
      <c r="E56" s="1029"/>
      <c r="F56" s="1029"/>
      <c r="G56" s="1064"/>
      <c r="H56" s="1065"/>
      <c r="I56" s="1065"/>
      <c r="J56" s="1066"/>
      <c r="K56" s="985"/>
      <c r="L56" s="1067">
        <f>G56*H56*K56</f>
        <v>0</v>
      </c>
    </row>
    <row r="57" spans="1:12" ht="21.75" customHeight="1" x14ac:dyDescent="0.25">
      <c r="A57" s="1637" t="s">
        <v>499</v>
      </c>
      <c r="B57" s="1637"/>
      <c r="C57" s="1637"/>
      <c r="D57" s="1637"/>
      <c r="E57" s="1637"/>
      <c r="F57" s="1637"/>
      <c r="G57" s="1637"/>
      <c r="H57" s="1637"/>
      <c r="I57" s="1637"/>
      <c r="J57" s="1637"/>
      <c r="K57" s="1637"/>
      <c r="L57" s="968">
        <f>ROUND(SUM(L54:L56),4)</f>
        <v>0</v>
      </c>
    </row>
    <row r="58" spans="1:12" ht="20.25" customHeight="1" x14ac:dyDescent="0.25">
      <c r="A58" s="990"/>
      <c r="B58" s="990"/>
      <c r="C58" s="990"/>
      <c r="D58" s="990"/>
      <c r="E58" s="990"/>
      <c r="F58" s="990"/>
      <c r="G58" s="875"/>
      <c r="H58" s="991"/>
      <c r="I58" s="991"/>
      <c r="J58" s="992"/>
      <c r="K58" s="993"/>
      <c r="L58" s="1068"/>
    </row>
    <row r="59" spans="1:12" x14ac:dyDescent="0.25">
      <c r="A59" s="1637" t="s">
        <v>500</v>
      </c>
      <c r="B59" s="1637"/>
      <c r="C59" s="1637"/>
      <c r="D59" s="1637"/>
      <c r="E59" s="1637"/>
      <c r="F59" s="1637"/>
      <c r="G59" s="1637"/>
      <c r="H59" s="1637"/>
      <c r="I59" s="1637"/>
      <c r="J59" s="1637"/>
      <c r="K59" s="1637"/>
      <c r="L59" s="968">
        <f>ROUND(L40+L49+L57,4)</f>
        <v>1357.52</v>
      </c>
    </row>
    <row r="60" spans="1:12" x14ac:dyDescent="0.25">
      <c r="A60" s="1638" t="s">
        <v>449</v>
      </c>
      <c r="B60" s="1638"/>
      <c r="C60" s="1638"/>
      <c r="D60" s="1638"/>
      <c r="E60" s="1638"/>
      <c r="F60" s="1638"/>
      <c r="G60" s="1638"/>
      <c r="H60" s="1638"/>
      <c r="I60" s="1638"/>
      <c r="J60" s="1638"/>
      <c r="K60" s="996">
        <f>[1]LDI!I34</f>
        <v>0.25569999999999998</v>
      </c>
      <c r="L60" s="997">
        <f>ROUND(L59*K60,4)</f>
        <v>347.11790000000002</v>
      </c>
    </row>
    <row r="61" spans="1:12" x14ac:dyDescent="0.25">
      <c r="A61" s="1639" t="s">
        <v>501</v>
      </c>
      <c r="B61" s="1639"/>
      <c r="C61" s="1639"/>
      <c r="D61" s="1639"/>
      <c r="E61" s="1639"/>
      <c r="F61" s="1639"/>
      <c r="G61" s="1639"/>
      <c r="H61" s="1639"/>
      <c r="I61" s="1639"/>
      <c r="J61" s="1639"/>
      <c r="K61" s="1639"/>
      <c r="L61" s="1069">
        <f>ROUND(L59+L60,2)</f>
        <v>1704.64</v>
      </c>
    </row>
    <row r="62" spans="1:12" x14ac:dyDescent="0.25">
      <c r="A62" s="873"/>
      <c r="B62" s="873"/>
      <c r="C62" s="873"/>
      <c r="D62" s="873"/>
      <c r="E62" s="873"/>
      <c r="F62" s="873"/>
      <c r="G62" s="873"/>
      <c r="H62" s="873"/>
      <c r="I62" s="873"/>
      <c r="J62" s="873"/>
      <c r="K62" s="873"/>
      <c r="L62" s="873"/>
    </row>
    <row r="63" spans="1:12" ht="24.75" customHeight="1" x14ac:dyDescent="0.25">
      <c r="A63" s="1000" t="s">
        <v>451</v>
      </c>
      <c r="B63" s="1001"/>
      <c r="C63" s="876" t="s">
        <v>455</v>
      </c>
      <c r="D63" s="875" t="s">
        <v>502</v>
      </c>
      <c r="E63" s="1070"/>
      <c r="F63" s="1070"/>
      <c r="G63" s="1070"/>
      <c r="H63" s="1070"/>
      <c r="I63" s="1070"/>
      <c r="J63" s="1070"/>
      <c r="K63" s="1070"/>
      <c r="L63" s="1071"/>
    </row>
    <row r="64" spans="1:12" x14ac:dyDescent="0.25">
      <c r="A64" s="1006"/>
      <c r="B64" s="1007"/>
      <c r="C64" s="1050" t="s">
        <v>457</v>
      </c>
      <c r="D64" s="855" t="str">
        <f>'[1]Atualização de custos unitarios'!C203</f>
        <v>Tabela de Preços de Consultoria do DNIT - Instrução de Serviço nº 03, 07/03/2012 (última atualização: 11/07/2019)</v>
      </c>
      <c r="E64" s="1072"/>
      <c r="F64" s="1072"/>
      <c r="G64" s="1072"/>
      <c r="H64" s="1072"/>
      <c r="I64" s="1072"/>
      <c r="J64" s="1072"/>
      <c r="K64" s="1072"/>
      <c r="L64" s="1073"/>
    </row>
    <row r="65" ht="7.5" customHeight="1" x14ac:dyDescent="0.25"/>
  </sheetData>
  <sheetProtection selectLockedCells="1" selectUnlockedCells="1"/>
  <mergeCells count="49">
    <mergeCell ref="L54:L55"/>
    <mergeCell ref="A57:K57"/>
    <mergeCell ref="A59:K59"/>
    <mergeCell ref="A60:J60"/>
    <mergeCell ref="A61:K61"/>
    <mergeCell ref="A54:A55"/>
    <mergeCell ref="B54:B55"/>
    <mergeCell ref="C54:C55"/>
    <mergeCell ref="D54:E55"/>
    <mergeCell ref="F54:F55"/>
    <mergeCell ref="G54:G55"/>
    <mergeCell ref="L51:L53"/>
    <mergeCell ref="H44:I44"/>
    <mergeCell ref="H45:I45"/>
    <mergeCell ref="D46:G46"/>
    <mergeCell ref="H46:I46"/>
    <mergeCell ref="H48:I48"/>
    <mergeCell ref="A49:K49"/>
    <mergeCell ref="A51:F53"/>
    <mergeCell ref="G51:G53"/>
    <mergeCell ref="H51:K51"/>
    <mergeCell ref="A47:B47"/>
    <mergeCell ref="H47:I47"/>
    <mergeCell ref="A33:K33"/>
    <mergeCell ref="A40:H40"/>
    <mergeCell ref="I40:K40"/>
    <mergeCell ref="A42:G43"/>
    <mergeCell ref="H42:I43"/>
    <mergeCell ref="J42:J43"/>
    <mergeCell ref="A27:I28"/>
    <mergeCell ref="J27:J28"/>
    <mergeCell ref="K27:K28"/>
    <mergeCell ref="A7:K7"/>
    <mergeCell ref="L7:L8"/>
    <mergeCell ref="A10:L10"/>
    <mergeCell ref="A11:D11"/>
    <mergeCell ref="A14:L15"/>
    <mergeCell ref="E17:J17"/>
    <mergeCell ref="A19:F20"/>
    <mergeCell ref="G19:G20"/>
    <mergeCell ref="H19:I19"/>
    <mergeCell ref="J19:K19"/>
    <mergeCell ref="A25:K25"/>
    <mergeCell ref="A6:K6"/>
    <mergeCell ref="A1:L1"/>
    <mergeCell ref="A2:L2"/>
    <mergeCell ref="A3:L3"/>
    <mergeCell ref="A4:L4"/>
    <mergeCell ref="A5:K5"/>
  </mergeCells>
  <dataValidations count="1">
    <dataValidation allowBlank="1" showInputMessage="1" showErrorMessage="1" prompt="Clique duas vezes sobre o número do item para ser direcionado à Planilha Orçamentária." sqref="D17" xr:uid="{00000000-0002-0000-0800-000000000000}">
      <formula1>0</formula1>
      <formula2>0</formula2>
    </dataValidation>
  </dataValidations>
  <printOptions horizontalCentered="1" verticalCentered="1"/>
  <pageMargins left="0.25" right="0.25" top="0.75" bottom="0.75" header="0.3" footer="0.3"/>
  <pageSetup paperSize="9" scale="82" firstPageNumber="0" fitToHeight="0" orientation="portrait" horizontalDpi="300" verticalDpi="300" r:id="rId1"/>
  <headerFooter alignWithMargins="0">
    <oddHeader>&amp;C&amp;G</oddHeader>
    <oddFooter>&amp;C&amp;14End: Tv. Estrela, nº 406 - B. Bairro: Bom Jesus, Mãe do Rio - PA&amp;R&amp;P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35</vt:i4>
      </vt:variant>
    </vt:vector>
  </HeadingPairs>
  <TitlesOfParts>
    <vt:vector size="74" baseType="lpstr">
      <vt:lpstr>PLANILHA DE CAMPO</vt:lpstr>
      <vt:lpstr>NOTA SERVIÇO</vt:lpstr>
      <vt:lpstr>CFF</vt:lpstr>
      <vt:lpstr>CPU EQUIPAMENTOS</vt:lpstr>
      <vt:lpstr>CPU TRANSPORTES</vt:lpstr>
      <vt:lpstr>ORÇAMENTÁRIA</vt:lpstr>
      <vt:lpstr>LDI</vt:lpstr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5.7</vt:lpstr>
      <vt:lpstr>5.8</vt:lpstr>
      <vt:lpstr>6.1</vt:lpstr>
      <vt:lpstr>6.2</vt:lpstr>
      <vt:lpstr>6.3</vt:lpstr>
      <vt:lpstr>6.4</vt:lpstr>
      <vt:lpstr>6.5</vt:lpstr>
      <vt:lpstr>6.6</vt:lpstr>
      <vt:lpstr>6.7</vt:lpstr>
      <vt:lpstr>6.8</vt:lpstr>
      <vt:lpstr>7.1</vt:lpstr>
      <vt:lpstr>7.2</vt:lpstr>
      <vt:lpstr>8.1</vt:lpstr>
      <vt:lpstr>8.2</vt:lpstr>
      <vt:lpstr>8.3</vt:lpstr>
      <vt:lpstr>9.1</vt:lpstr>
      <vt:lpstr>9.2</vt:lpstr>
      <vt:lpstr>Enc.sociais</vt:lpstr>
      <vt:lpstr>PONTE MADEIRA</vt:lpstr>
      <vt:lpstr>'1.1'!Area_de_impressao</vt:lpstr>
      <vt:lpstr>'1.2'!Area_de_impressao</vt:lpstr>
      <vt:lpstr>'1.3'!Area_de_impressao</vt:lpstr>
      <vt:lpstr>'2.1'!Area_de_impressao</vt:lpstr>
      <vt:lpstr>'3.1'!Area_de_impressao</vt:lpstr>
      <vt:lpstr>'4.1'!Area_de_impressao</vt:lpstr>
      <vt:lpstr>'4.2'!Area_de_impressao</vt:lpstr>
      <vt:lpstr>'5.1'!Area_de_impressao</vt:lpstr>
      <vt:lpstr>'5.2'!Area_de_impressao</vt:lpstr>
      <vt:lpstr>'5.3'!Area_de_impressao</vt:lpstr>
      <vt:lpstr>'5.4'!Area_de_impressao</vt:lpstr>
      <vt:lpstr>'5.5'!Area_de_impressao</vt:lpstr>
      <vt:lpstr>'5.6'!Area_de_impressao</vt:lpstr>
      <vt:lpstr>'5.7'!Area_de_impressao</vt:lpstr>
      <vt:lpstr>'5.8'!Area_de_impressao</vt:lpstr>
      <vt:lpstr>'6.1'!Area_de_impressao</vt:lpstr>
      <vt:lpstr>'6.2'!Area_de_impressao</vt:lpstr>
      <vt:lpstr>'6.3'!Area_de_impressao</vt:lpstr>
      <vt:lpstr>'6.4'!Area_de_impressao</vt:lpstr>
      <vt:lpstr>'6.5'!Area_de_impressao</vt:lpstr>
      <vt:lpstr>'6.6'!Area_de_impressao</vt:lpstr>
      <vt:lpstr>'6.7'!Area_de_impressao</vt:lpstr>
      <vt:lpstr>'6.8'!Area_de_impressao</vt:lpstr>
      <vt:lpstr>'7.1'!Area_de_impressao</vt:lpstr>
      <vt:lpstr>'7.2'!Area_de_impressao</vt:lpstr>
      <vt:lpstr>'8.1'!Area_de_impressao</vt:lpstr>
      <vt:lpstr>'8.2'!Area_de_impressao</vt:lpstr>
      <vt:lpstr>'8.3'!Area_de_impressao</vt:lpstr>
      <vt:lpstr>'9.1'!Area_de_impressao</vt:lpstr>
      <vt:lpstr>'9.2'!Area_de_impressao</vt:lpstr>
      <vt:lpstr>CFF!Area_de_impressao</vt:lpstr>
      <vt:lpstr>'CPU EQUIPAMENTOS'!Area_de_impressao</vt:lpstr>
      <vt:lpstr>Enc.sociais!Area_de_impressao</vt:lpstr>
      <vt:lpstr>LDI!Area_de_impressao</vt:lpstr>
      <vt:lpstr>ORÇAMENTÁRIA!Area_de_impressao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Vitoria</cp:lastModifiedBy>
  <cp:lastPrinted>2021-12-27T22:14:30Z</cp:lastPrinted>
  <dcterms:created xsi:type="dcterms:W3CDTF">2021-12-10T21:03:08Z</dcterms:created>
  <dcterms:modified xsi:type="dcterms:W3CDTF">2021-12-27T22:15:47Z</dcterms:modified>
</cp:coreProperties>
</file>